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drawings/drawing8.xml" ContentType="application/vnd.openxmlformats-officedocument.drawing+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codeName="ThisWorkbook" autoCompressPictures="0"/>
  <mc:AlternateContent xmlns:mc="http://schemas.openxmlformats.org/markup-compatibility/2006">
    <mc:Choice Requires="x15">
      <x15ac:absPath xmlns:x15ac="http://schemas.microsoft.com/office/spreadsheetml/2010/11/ac" url="/Users/johannaschelle/Downloads/"/>
    </mc:Choice>
  </mc:AlternateContent>
  <xr:revisionPtr revIDLastSave="0" documentId="13_ncr:1_{39021258-9D25-794E-86D0-2FAA3B741B9E}" xr6:coauthVersionLast="47" xr6:coauthVersionMax="47" xr10:uidLastSave="{00000000-0000-0000-0000-000000000000}"/>
  <workbookProtection workbookAlgorithmName="SHA-512" workbookHashValue="bfuQk9s8pKHvKBFcP8Cgaz0rAi55gm3V8pY8Y02P4PlTulI+iglVfv7OWIplWGSrleSv0Qcxge6+AGXzlDgB5g==" workbookSaltValue="ZWyOxjdNRpFwYua/fKimjw==" workbookSpinCount="100000" lockStructure="1"/>
  <bookViews>
    <workbookView xWindow="-120" yWindow="740" windowWidth="29040" windowHeight="18380" tabRatio="780" xr2:uid="{6CD61CBB-0F94-4418-8EA8-582862AE32D8}"/>
  </bookViews>
  <sheets>
    <sheet name="Startseite und Basisinfos" sheetId="11" r:id="rId1"/>
    <sheet name="Zählung Bestand" sheetId="13" r:id="rId2"/>
    <sheet name="A ▪ Bestandseingabe" sheetId="1" r:id="rId3"/>
    <sheet name="B ▪ Parametereingabe" sheetId="6" r:id="rId4"/>
    <sheet name="C ▪ Ergebnisjustierung" sheetId="7" r:id="rId5"/>
    <sheet name="D ▪ Kostenanalyse" sheetId="12" r:id="rId6"/>
    <sheet name="E1 ▪ Checkliste" sheetId="14" r:id="rId7"/>
    <sheet name="E2 ▪ Checkliste" sheetId="16" r:id="rId8"/>
    <sheet name="F ▪ Kurzbericht" sheetId="15" r:id="rId9"/>
    <sheet name="intern" sheetId="9" state="hidden" r:id="rId10"/>
  </sheets>
  <definedNames>
    <definedName name="_xlnm.Print_Area" localSheetId="2">'A ▪ Bestandseingabe'!$B$5:$U$34,'A ▪ Bestandseingabe'!$B$36:$U$126</definedName>
    <definedName name="_xlnm.Print_Area" localSheetId="3">'B ▪ Parametereingabe'!$B$5:$U$103</definedName>
    <definedName name="_xlnm.Print_Area" localSheetId="4">'C ▪ Ergebnisjustierung'!$B$5:$U$99,'C ▪ Ergebnisjustierung'!$B$101:$U$172</definedName>
    <definedName name="_xlnm.Print_Area" localSheetId="5">'D ▪ Kostenanalyse'!$B$5:$U$91,'D ▪ Kostenanalyse'!$B$93:$U$170</definedName>
    <definedName name="_xlnm.Print_Area" localSheetId="6">'E1 ▪ Checkliste'!$C$20:$T$92</definedName>
    <definedName name="_xlnm.Print_Area" localSheetId="7">'E2 ▪ Checkliste'!$C$20:$T$50,'E2 ▪ Checkliste'!$C$52:$T$89</definedName>
    <definedName name="_xlnm.Print_Area" localSheetId="8">'F ▪ Kurzbericht'!$C$20:$T$113</definedName>
    <definedName name="_xlnm.Print_Area" localSheetId="9">intern!$A$4</definedName>
    <definedName name="_xlnm.Print_Area" localSheetId="0">'Startseite und Basisinfos'!$B$85:$U$157,'Startseite und Basisinfos'!$B$159:$U$192,'Startseite und Basisinfos'!$B$194:$U$269</definedName>
    <definedName name="_xlnm.Print_Area" localSheetId="1">'Zählung Bestand'!$C$57:$T$102</definedName>
    <definedName name="R_BESTANDSEINGABE">intern!$B$146:$B$148</definedName>
    <definedName name="R_KOSTENANALYSE">intern!$B$185:$B$186</definedName>
    <definedName name="R_TFAUSWAHL">intern!$B$153:$B$157</definedName>
    <definedName name="R_TFAUSWAHL_NUM">intern!$A$153:$A$157</definedName>
    <definedName name="R_UVB">intern!$B$162:$B$164</definedName>
    <definedName name="R_ZUSAMMEN">intern!$B$169:$B$170</definedName>
    <definedName name="TBS_1a">intern!$B$193</definedName>
    <definedName name="TBS_1b">intern!$B$199</definedName>
    <definedName name="TBS_2">intern!$B$205</definedName>
    <definedName name="TBS_3a">intern!$B$210</definedName>
    <definedName name="TBS_3b">intern!$B$218</definedName>
    <definedName name="TBS_3c">intern!$B$226</definedName>
    <definedName name="TBS_3d">intern!$B$234</definedName>
    <definedName name="TBS_4">intern!$C$243</definedName>
    <definedName name="TBS_F11">intern!$F$13</definedName>
    <definedName name="TBS_F12">intern!$F$21</definedName>
    <definedName name="TBS_F13">intern!$F$29</definedName>
    <definedName name="TBS_F14">intern!$F$37</definedName>
    <definedName name="TBS_F21">intern!$L$13</definedName>
    <definedName name="TBS_F22">intern!$L$21</definedName>
    <definedName name="TBS_F23">intern!$L$29</definedName>
    <definedName name="TBS_F24">intern!$L$37</definedName>
    <definedName name="TBS_F3a">intern!$E$51</definedName>
    <definedName name="TBS_F3b">intern!$O$51</definedName>
    <definedName name="TBS_FH">intern!$B$136</definedName>
    <definedName name="TBS_FH_D">intern!$I$136</definedName>
    <definedName name="V_ARBEIT">intern!$U$7</definedName>
    <definedName name="V_FPH">intern!$P$66</definedName>
    <definedName name="V_VER1">intern!$U$5</definedName>
    <definedName name="V_VER2">intern!$U$6</definedName>
    <definedName name="VA_BBGESAMT">intern!$B$173</definedName>
    <definedName name="VA_BESTANDSEINGABE">intern!$B$144</definedName>
    <definedName name="VA_FEHLER_AB">intern!$B$124</definedName>
    <definedName name="VA_FEHLER_C">intern!$B$127</definedName>
    <definedName name="VA_FEHLER_CD">intern!$E$127</definedName>
    <definedName name="VA_FEHLER_D">intern!$E$124</definedName>
    <definedName name="VA_FEHLERMODUL">intern!$B$121</definedName>
    <definedName name="VA_KOSTENANALYSE">intern!$B$182</definedName>
    <definedName name="VA_KOSTENANALYSE_2">'D ▪ Kostenanalyse'!$B$36</definedName>
    <definedName name="VA_TF">intern!$B$114</definedName>
    <definedName name="VA_TFAUSWAHL">intern!$B$151</definedName>
    <definedName name="VA_VERKEHRSSTATION">intern!$B$93</definedName>
    <definedName name="VA_VERLEGUNG_1">intern!$D$51</definedName>
    <definedName name="VA_VERLEGUNG_2">intern!$N$51</definedName>
    <definedName name="VA_ZUGANG_1">intern!$B$96</definedName>
    <definedName name="VA_ZUGANG_2">intern!$B$99</definedName>
    <definedName name="VA_ZUSAMMEN">intern!$B$167</definedName>
    <definedName name="VE_3_UVB">'B ▪ Parametereingabe'!$N$56</definedName>
    <definedName name="VE_5_DIEBSTAHL">'B ▪ Parametereingabe'!$N$93</definedName>
    <definedName name="VE_5_ENTGELTFREI">'B ▪ Parametereingabe'!$N$97</definedName>
    <definedName name="VE_5_ERSTMALIGSICHER">'B ▪ Parametereingabe'!$N$89</definedName>
    <definedName name="VE_5_PENDLER">'B ▪ Parametereingabe'!$N$102</definedName>
    <definedName name="VE_BB_1">'C ▪ Ergebnisjustierung'!$N$96</definedName>
    <definedName name="VE_BB_2">'C ▪ Ergebnisjustierung'!$R$96</definedName>
    <definedName name="VE_BESTANDSEINGABE">'A ▪ Bestandseingabe'!$M$38</definedName>
    <definedName name="VE_KOSTENANALYSE">'D ▪ Kostenanalyse'!$N$34</definedName>
    <definedName name="VE_TFAUSWAHL">'B ▪ Parametereingabe'!$N$26</definedName>
    <definedName name="VE_VERKEHRSSTATION">'A ▪ Bestandseingabe'!$I$26</definedName>
    <definedName name="VE_VERLEGUNG_1">'A ▪ Bestandseingabe'!$J$125</definedName>
    <definedName name="VE_VERLEGUNG_2">'A ▪ Bestandseingabe'!$T$125</definedName>
    <definedName name="VE_ZUGANG_1">'A ▪ Bestandseingabe'!$C$43</definedName>
    <definedName name="VE_ZUGANG_2">'A ▪ Bestandseingabe'!$M$43</definedName>
    <definedName name="VE_ZUSAMMEN">'C ▪ Ergebnisjustierung'!$C$38</definedName>
    <definedName name="VP_0_EAHEUTE">'B ▪ Parametereingabe'!$N$22</definedName>
    <definedName name="VP_1_DBEA2040">'B ▪ Parametereingabe'!$N$30</definedName>
    <definedName name="VP_2_RVEA">'B ▪ Parametereingabe'!$N$38</definedName>
    <definedName name="VP_2_RVJAHR">'B ▪ Parametereingabe'!$N$34</definedName>
    <definedName name="VP_2_RVTF">'B ▪ Parametereingabe'!$N$40</definedName>
    <definedName name="VP_3_BVHEUTE">'B ▪ Parametereingabe'!$N$44</definedName>
    <definedName name="VP_3_BVJAHR">'B ▪ Parametereingabe'!$N$46</definedName>
    <definedName name="VP_3_BVTF">'B ▪ Parametereingabe'!$N$52</definedName>
    <definedName name="VP_3_BVZUKUNFT">'B ▪ Parametereingabe'!$N$50</definedName>
    <definedName name="VP_3_UVB">intern!$B$160</definedName>
    <definedName name="VP_4_METF">'B ▪ Parametereingabe'!$N$61</definedName>
    <definedName name="VP_5_DIEBSTAHL">intern!$B$110</definedName>
    <definedName name="VP_5_ENTGELTFREI">intern!$D$110</definedName>
    <definedName name="VP_5_ERSTMALIGSICHER">intern!$H$110</definedName>
    <definedName name="VP_5_PENDLER">intern!$F$110</definedName>
    <definedName name="VP_5_SICH_BESTAND_VORHANDEN">intern!$G$48</definedName>
    <definedName name="Z_1">intern!$A$3</definedName>
    <definedName name="Z_2">intern!$A$90</definedName>
    <definedName name="Z_3">intern!$A$118</definedName>
    <definedName name="Z_4">intern!$A$141</definedName>
    <definedName name="Z_5">intern!$A$190</definedName>
    <definedName name="Z_6">intern!$A$246</definedName>
    <definedName name="Z_7">intern!$A$324</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59" i="9" l="1"/>
  <c r="K358" i="9"/>
  <c r="U5" i="9"/>
  <c r="U6" i="9"/>
  <c r="S122" i="12"/>
  <c r="U259" i="9" a="1"/>
  <c r="U259" i="9" s="1"/>
  <c r="U250" i="9" a="1"/>
  <c r="U250" i="9" s="1"/>
  <c r="U251" i="9" a="1"/>
  <c r="U251" i="9" s="1"/>
  <c r="U252" i="9" a="1"/>
  <c r="U252" i="9" s="1"/>
  <c r="U253" i="9" a="1"/>
  <c r="U253" i="9" s="1"/>
  <c r="U254" i="9" a="1"/>
  <c r="U254" i="9" s="1"/>
  <c r="U255" i="9" a="1"/>
  <c r="U255" i="9" s="1"/>
  <c r="U258" i="9" a="1"/>
  <c r="U258" i="9" s="1"/>
  <c r="U260" i="9" a="1"/>
  <c r="U260" i="9" s="1"/>
  <c r="U261" i="9" a="1"/>
  <c r="U261" i="9" s="1"/>
  <c r="U262" i="9" a="1"/>
  <c r="U262" i="9" s="1"/>
  <c r="U265" i="9" a="1"/>
  <c r="U265" i="9" s="1"/>
  <c r="U266" i="9" a="1"/>
  <c r="U266" i="9" s="1"/>
  <c r="U267" i="9" a="1"/>
  <c r="U267" i="9" s="1"/>
  <c r="U270" i="9" a="1"/>
  <c r="U270" i="9" s="1"/>
  <c r="U271" i="9" a="1"/>
  <c r="U271" i="9" s="1"/>
  <c r="U272" i="9" a="1"/>
  <c r="U272" i="9" s="1"/>
  <c r="U273" i="9" a="1"/>
  <c r="U273" i="9" s="1"/>
  <c r="U274" i="9" a="1"/>
  <c r="U274" i="9" s="1"/>
  <c r="U275" i="9" a="1"/>
  <c r="U275" i="9" s="1"/>
  <c r="U276" i="9" a="1"/>
  <c r="U276" i="9" s="1"/>
  <c r="U281" i="9" a="1"/>
  <c r="U281" i="9" s="1"/>
  <c r="U282" i="9" a="1"/>
  <c r="U282" i="9" s="1"/>
  <c r="U283" i="9" a="1"/>
  <c r="U283" i="9" s="1"/>
  <c r="U284" i="9" a="1"/>
  <c r="U284" i="9" s="1"/>
  <c r="U285" i="9" a="1"/>
  <c r="U285" i="9" s="1"/>
  <c r="U286" i="9" a="1"/>
  <c r="U286" i="9" s="1"/>
  <c r="U289" i="9" a="1"/>
  <c r="U289" i="9" s="1"/>
  <c r="U290" i="9" a="1"/>
  <c r="U290" i="9" s="1"/>
  <c r="U291" i="9" a="1"/>
  <c r="U291" i="9" s="1"/>
  <c r="U294" i="9" a="1"/>
  <c r="U294" i="9" s="1"/>
  <c r="U298" i="9" a="1"/>
  <c r="U298" i="9" s="1"/>
  <c r="U299" i="9" a="1"/>
  <c r="U299" i="9" s="1"/>
  <c r="U300" i="9" a="1"/>
  <c r="U300" i="9" s="1"/>
  <c r="U301" i="9" a="1"/>
  <c r="U301" i="9" s="1"/>
  <c r="U302" i="9" a="1"/>
  <c r="U302" i="9" s="1"/>
  <c r="U306" i="9" a="1"/>
  <c r="U306" i="9" s="1"/>
  <c r="U307" i="9" a="1"/>
  <c r="U307" i="9" s="1"/>
  <c r="U308" i="9" a="1"/>
  <c r="U308" i="9" s="1"/>
  <c r="U309" i="9" a="1"/>
  <c r="U309" i="9" s="1"/>
  <c r="U310" i="9" a="1"/>
  <c r="U310" i="9" s="1"/>
  <c r="U311" i="9" a="1"/>
  <c r="U311" i="9" s="1"/>
  <c r="U249" i="9" a="1"/>
  <c r="U249" i="9" s="1"/>
  <c r="T67" i="15"/>
  <c r="J67" i="15"/>
  <c r="K38" i="9"/>
  <c r="E38" i="9"/>
  <c r="K30" i="9"/>
  <c r="E30" i="9"/>
  <c r="K22" i="9"/>
  <c r="E22" i="9"/>
  <c r="K14" i="9"/>
  <c r="E14" i="9"/>
  <c r="W40" i="9" l="1"/>
  <c r="M51" i="15" s="1"/>
  <c r="O242" i="9" l="1"/>
  <c r="L242" i="9"/>
  <c r="I242" i="9"/>
  <c r="F242" i="9"/>
  <c r="C242" i="9"/>
  <c r="C243" i="9" l="1"/>
  <c r="G28" i="15" s="1"/>
  <c r="M49" i="12"/>
  <c r="S64" i="9" l="1"/>
  <c r="I64" i="9"/>
  <c r="B99" i="9" l="1"/>
  <c r="B96" i="9"/>
  <c r="B93" i="9"/>
  <c r="G20" i="15" s="1"/>
  <c r="G24" i="15"/>
  <c r="G26" i="15"/>
  <c r="G22" i="15"/>
  <c r="R67" i="15"/>
  <c r="S67" i="15"/>
  <c r="R72" i="15"/>
  <c r="H72" i="15"/>
  <c r="I67" i="15"/>
  <c r="H67" i="15"/>
  <c r="R79" i="9"/>
  <c r="H79" i="9"/>
  <c r="V74" i="9"/>
  <c r="Y345" i="9" s="1"/>
  <c r="T74" i="9"/>
  <c r="R74" i="9"/>
  <c r="W345" i="9" s="1"/>
  <c r="L74" i="9"/>
  <c r="T345" i="9" s="1"/>
  <c r="J74" i="9"/>
  <c r="H74" i="9"/>
  <c r="T157" i="7"/>
  <c r="R157" i="7"/>
  <c r="J157" i="7"/>
  <c r="H157" i="7"/>
  <c r="P79" i="9" l="1"/>
  <c r="W350" i="9"/>
  <c r="N79" i="9"/>
  <c r="R350" i="9"/>
  <c r="Q74" i="9"/>
  <c r="X345" i="9"/>
  <c r="N74" i="9"/>
  <c r="R345" i="9"/>
  <c r="O74" i="9"/>
  <c r="S345" i="9"/>
  <c r="P74" i="9"/>
  <c r="U86" i="9"/>
  <c r="K86" i="9"/>
  <c r="T75" i="15"/>
  <c r="Q167" i="12"/>
  <c r="R73" i="15" l="1"/>
  <c r="R71" i="15"/>
  <c r="R70" i="15"/>
  <c r="R69" i="15"/>
  <c r="S68" i="15"/>
  <c r="T66" i="15"/>
  <c r="S66" i="15"/>
  <c r="R66" i="15"/>
  <c r="T65" i="15"/>
  <c r="S65" i="15"/>
  <c r="R65" i="15"/>
  <c r="T64" i="15"/>
  <c r="S64" i="15"/>
  <c r="R64" i="15"/>
  <c r="H73" i="15"/>
  <c r="H71" i="15"/>
  <c r="H70" i="15"/>
  <c r="H69" i="15"/>
  <c r="I68" i="15"/>
  <c r="J66" i="15"/>
  <c r="I66" i="15"/>
  <c r="H66" i="15"/>
  <c r="J65" i="15"/>
  <c r="I65" i="15"/>
  <c r="H65" i="15"/>
  <c r="J64" i="15"/>
  <c r="I64" i="15"/>
  <c r="H64" i="15"/>
  <c r="C90" i="15"/>
  <c r="C88" i="15"/>
  <c r="S39" i="15" l="1"/>
  <c r="S37" i="15"/>
  <c r="M39" i="15"/>
  <c r="S20" i="15"/>
  <c r="S22" i="15" l="1"/>
  <c r="Q77" i="14"/>
  <c r="I263" i="9" a="1"/>
  <c r="I263" i="9" s="1"/>
  <c r="I270" i="9" a="1"/>
  <c r="I270" i="9" s="1"/>
  <c r="I282" i="9" a="1"/>
  <c r="I282" i="9" s="1"/>
  <c r="I293" i="9" a="1"/>
  <c r="I293" i="9" s="1"/>
  <c r="I277" i="9" a="1"/>
  <c r="I277" i="9" s="1"/>
  <c r="I258" i="9" a="1"/>
  <c r="I258" i="9" s="1"/>
  <c r="I248" i="9" a="1"/>
  <c r="I248" i="9" s="1"/>
  <c r="V73" i="9"/>
  <c r="V72" i="9"/>
  <c r="Y343" i="9" s="1"/>
  <c r="V71" i="9"/>
  <c r="Y342" i="9" s="1"/>
  <c r="T75" i="9"/>
  <c r="T73" i="9"/>
  <c r="T72" i="9"/>
  <c r="T71" i="9"/>
  <c r="R80" i="9"/>
  <c r="W351" i="9" s="1"/>
  <c r="R78" i="9"/>
  <c r="R77" i="9"/>
  <c r="R76" i="9"/>
  <c r="R73" i="9"/>
  <c r="W344" i="9" s="1"/>
  <c r="R72" i="9"/>
  <c r="W343" i="9" s="1"/>
  <c r="R71" i="9"/>
  <c r="W342" i="9" s="1"/>
  <c r="L73" i="9"/>
  <c r="T344" i="9" s="1"/>
  <c r="L72" i="9"/>
  <c r="T343" i="9" s="1"/>
  <c r="L71" i="9"/>
  <c r="T342" i="9" s="1"/>
  <c r="J75" i="9"/>
  <c r="S346" i="9" s="1"/>
  <c r="J73" i="9"/>
  <c r="J72" i="9"/>
  <c r="J71" i="9"/>
  <c r="H80" i="9"/>
  <c r="R351" i="9" s="1"/>
  <c r="H78" i="9"/>
  <c r="H77" i="9"/>
  <c r="H76" i="9"/>
  <c r="H73" i="9"/>
  <c r="R344" i="9" s="1"/>
  <c r="H72" i="9"/>
  <c r="R343" i="9" s="1"/>
  <c r="H71" i="9"/>
  <c r="R342" i="9" s="1"/>
  <c r="S168" i="12"/>
  <c r="S143" i="12"/>
  <c r="S164" i="12"/>
  <c r="S147" i="12"/>
  <c r="S141" i="12"/>
  <c r="S142" i="12"/>
  <c r="S121" i="9"/>
  <c r="S149" i="12"/>
  <c r="S148" i="12"/>
  <c r="M140" i="12"/>
  <c r="I140" i="12" s="1"/>
  <c r="S131" i="12"/>
  <c r="S130" i="12"/>
  <c r="S129" i="12"/>
  <c r="S128" i="12"/>
  <c r="S123" i="12"/>
  <c r="S105" i="12"/>
  <c r="Q94" i="15" s="1"/>
  <c r="S86" i="12"/>
  <c r="S78" i="12"/>
  <c r="S71" i="12"/>
  <c r="S70" i="12"/>
  <c r="S69" i="12"/>
  <c r="B182" i="9"/>
  <c r="B222" i="9"/>
  <c r="N76" i="9" l="1"/>
  <c r="R347" i="9"/>
  <c r="N77" i="9"/>
  <c r="R348" i="9"/>
  <c r="N78" i="9"/>
  <c r="R349" i="9"/>
  <c r="P76" i="9"/>
  <c r="W347" i="9"/>
  <c r="P77" i="9"/>
  <c r="W348" i="9"/>
  <c r="P78" i="9"/>
  <c r="W349" i="9"/>
  <c r="H326" i="9"/>
  <c r="P73" i="9"/>
  <c r="Y344" i="9"/>
  <c r="AA327" i="9" s="1"/>
  <c r="X329" i="9"/>
  <c r="X328" i="9"/>
  <c r="Q72" i="9"/>
  <c r="X343" i="9"/>
  <c r="Q73" i="9"/>
  <c r="X344" i="9"/>
  <c r="Q71" i="9"/>
  <c r="X342" i="9"/>
  <c r="U87" i="9"/>
  <c r="X346" i="9"/>
  <c r="W329" i="9"/>
  <c r="W327" i="9"/>
  <c r="O72" i="9"/>
  <c r="S343" i="9"/>
  <c r="O73" i="9"/>
  <c r="S344" i="9"/>
  <c r="T328" i="9"/>
  <c r="T329" i="9"/>
  <c r="V329" i="9"/>
  <c r="V327" i="9"/>
  <c r="O71" i="9"/>
  <c r="S342" i="9"/>
  <c r="N73" i="9"/>
  <c r="N71" i="9"/>
  <c r="N72" i="9"/>
  <c r="K87" i="9"/>
  <c r="O75" i="9"/>
  <c r="P71" i="9"/>
  <c r="P72" i="9"/>
  <c r="H112" i="15"/>
  <c r="U121" i="9"/>
  <c r="Q75" i="9"/>
  <c r="U84" i="9"/>
  <c r="U85" i="9"/>
  <c r="K85" i="9"/>
  <c r="K84" i="9"/>
  <c r="U83" i="9"/>
  <c r="K83" i="9"/>
  <c r="R122" i="9"/>
  <c r="U122" i="9"/>
  <c r="S122" i="9"/>
  <c r="T122" i="9"/>
  <c r="S151" i="12"/>
  <c r="L103" i="15" s="1"/>
  <c r="K33" i="9"/>
  <c r="L33" i="9"/>
  <c r="M33" i="9"/>
  <c r="N33" i="9"/>
  <c r="O33" i="9"/>
  <c r="K34" i="9"/>
  <c r="L34" i="9"/>
  <c r="M34" i="9"/>
  <c r="N34" i="9"/>
  <c r="O34" i="9"/>
  <c r="K35" i="9"/>
  <c r="L35" i="9"/>
  <c r="M35" i="9"/>
  <c r="N35" i="9"/>
  <c r="O35" i="9"/>
  <c r="K36" i="9"/>
  <c r="L36" i="9"/>
  <c r="M36" i="9"/>
  <c r="N36" i="9"/>
  <c r="O36" i="9"/>
  <c r="J34" i="9"/>
  <c r="J35" i="9"/>
  <c r="J36" i="9"/>
  <c r="J33" i="9"/>
  <c r="K37" i="9"/>
  <c r="J37" i="9"/>
  <c r="K25" i="9"/>
  <c r="L25" i="9"/>
  <c r="M25" i="9"/>
  <c r="N25" i="9"/>
  <c r="O25" i="9"/>
  <c r="K26" i="9"/>
  <c r="L26" i="9"/>
  <c r="M26" i="9"/>
  <c r="N26" i="9"/>
  <c r="O26" i="9"/>
  <c r="K27" i="9"/>
  <c r="L27" i="9"/>
  <c r="M27" i="9"/>
  <c r="N27" i="9"/>
  <c r="O27" i="9"/>
  <c r="K28" i="9"/>
  <c r="L28" i="9"/>
  <c r="M28" i="9"/>
  <c r="N28" i="9"/>
  <c r="O28" i="9"/>
  <c r="J26" i="9"/>
  <c r="J27" i="9"/>
  <c r="J28" i="9"/>
  <c r="J25" i="9"/>
  <c r="K29" i="9"/>
  <c r="J29" i="9"/>
  <c r="J17" i="9"/>
  <c r="K17" i="9"/>
  <c r="L17" i="9"/>
  <c r="M17" i="9"/>
  <c r="N17" i="9"/>
  <c r="O17" i="9"/>
  <c r="J18" i="9"/>
  <c r="K18" i="9"/>
  <c r="L18" i="9"/>
  <c r="M18" i="9"/>
  <c r="N18" i="9"/>
  <c r="O18" i="9"/>
  <c r="J19" i="9"/>
  <c r="K19" i="9"/>
  <c r="L19" i="9"/>
  <c r="M19" i="9"/>
  <c r="N19" i="9"/>
  <c r="O19" i="9"/>
  <c r="J20" i="9"/>
  <c r="K20" i="9"/>
  <c r="L20" i="9"/>
  <c r="M20" i="9"/>
  <c r="N20" i="9"/>
  <c r="O20" i="9"/>
  <c r="K21" i="9"/>
  <c r="J21" i="9"/>
  <c r="K9" i="9"/>
  <c r="L9" i="9"/>
  <c r="M9" i="9"/>
  <c r="N9" i="9"/>
  <c r="O9" i="9"/>
  <c r="K10" i="9"/>
  <c r="L10" i="9"/>
  <c r="M10" i="9"/>
  <c r="N10" i="9"/>
  <c r="O10" i="9"/>
  <c r="K11" i="9"/>
  <c r="L11" i="9"/>
  <c r="M11" i="9"/>
  <c r="N11" i="9"/>
  <c r="O11" i="9"/>
  <c r="K12" i="9"/>
  <c r="L12" i="9"/>
  <c r="M12" i="9"/>
  <c r="N12" i="9"/>
  <c r="O12" i="9"/>
  <c r="J10" i="9"/>
  <c r="J11" i="9"/>
  <c r="J12" i="9"/>
  <c r="J9" i="9"/>
  <c r="K13" i="9"/>
  <c r="J13" i="9"/>
  <c r="E33" i="9"/>
  <c r="F33" i="9"/>
  <c r="G33" i="9"/>
  <c r="H33" i="9"/>
  <c r="I33" i="9"/>
  <c r="E34" i="9"/>
  <c r="F34" i="9"/>
  <c r="G34" i="9"/>
  <c r="H34" i="9"/>
  <c r="I34" i="9"/>
  <c r="E35" i="9"/>
  <c r="F35" i="9"/>
  <c r="G35" i="9"/>
  <c r="H35" i="9"/>
  <c r="I35" i="9"/>
  <c r="E36" i="9"/>
  <c r="F36" i="9"/>
  <c r="G36" i="9"/>
  <c r="H36" i="9"/>
  <c r="I36" i="9"/>
  <c r="D34" i="9"/>
  <c r="D35" i="9"/>
  <c r="D36" i="9"/>
  <c r="D33" i="9"/>
  <c r="E37" i="9"/>
  <c r="D37" i="9"/>
  <c r="E29" i="9"/>
  <c r="D29" i="9"/>
  <c r="E25" i="9"/>
  <c r="F25" i="9"/>
  <c r="G25" i="9"/>
  <c r="H25" i="9"/>
  <c r="I25" i="9"/>
  <c r="E26" i="9"/>
  <c r="F26" i="9"/>
  <c r="G26" i="9"/>
  <c r="H26" i="9"/>
  <c r="I26" i="9"/>
  <c r="E27" i="9"/>
  <c r="F27" i="9"/>
  <c r="G27" i="9"/>
  <c r="H27" i="9"/>
  <c r="I27" i="9"/>
  <c r="E28" i="9"/>
  <c r="F28" i="9"/>
  <c r="G28" i="9"/>
  <c r="H28" i="9"/>
  <c r="I28" i="9"/>
  <c r="D26" i="9"/>
  <c r="D27" i="9"/>
  <c r="D28" i="9"/>
  <c r="D25" i="9"/>
  <c r="E17" i="9"/>
  <c r="F17" i="9"/>
  <c r="G17" i="9"/>
  <c r="H17" i="9"/>
  <c r="I17" i="9"/>
  <c r="E18" i="9"/>
  <c r="F18" i="9"/>
  <c r="G18" i="9"/>
  <c r="H18" i="9"/>
  <c r="I18" i="9"/>
  <c r="E19" i="9"/>
  <c r="F19" i="9"/>
  <c r="G19" i="9"/>
  <c r="H19" i="9"/>
  <c r="I19" i="9"/>
  <c r="E20" i="9"/>
  <c r="F20" i="9"/>
  <c r="G20" i="9"/>
  <c r="H20" i="9"/>
  <c r="I20" i="9"/>
  <c r="D18" i="9"/>
  <c r="D19" i="9"/>
  <c r="D20" i="9"/>
  <c r="E21" i="9"/>
  <c r="D21" i="9"/>
  <c r="D17" i="9"/>
  <c r="E13" i="9"/>
  <c r="D13" i="9"/>
  <c r="D10" i="9"/>
  <c r="E10" i="9"/>
  <c r="F10" i="9"/>
  <c r="G10" i="9"/>
  <c r="H10" i="9"/>
  <c r="I10" i="9"/>
  <c r="D11" i="9"/>
  <c r="E11" i="9"/>
  <c r="F11" i="9"/>
  <c r="G11" i="9"/>
  <c r="H11" i="9"/>
  <c r="I11" i="9"/>
  <c r="D12" i="9"/>
  <c r="E12" i="9"/>
  <c r="F12" i="9"/>
  <c r="G12" i="9"/>
  <c r="H12" i="9"/>
  <c r="I12" i="9"/>
  <c r="E9" i="9"/>
  <c r="F9" i="9"/>
  <c r="G9" i="9"/>
  <c r="H9" i="9"/>
  <c r="I9" i="9"/>
  <c r="D9" i="9"/>
  <c r="B214" i="9"/>
  <c r="B213" i="9"/>
  <c r="B151" i="9"/>
  <c r="I35" i="15" s="1"/>
  <c r="B144" i="9"/>
  <c r="D328" i="9" s="1"/>
  <c r="AA329" i="9" l="1"/>
  <c r="X327" i="9"/>
  <c r="T327" i="9"/>
  <c r="Y329" i="9"/>
  <c r="Y328" i="9"/>
  <c r="Y327" i="9"/>
  <c r="Z329" i="9"/>
  <c r="Z327" i="9"/>
  <c r="U328" i="9"/>
  <c r="U327" i="9"/>
  <c r="U329" i="9"/>
  <c r="B160" i="9"/>
  <c r="I33" i="15"/>
  <c r="K31" i="15"/>
  <c r="B167" i="9"/>
  <c r="M40" i="9" s="1"/>
  <c r="C51" i="15" s="1"/>
  <c r="B199" i="9"/>
  <c r="B193" i="9"/>
  <c r="K355" i="9" l="1"/>
  <c r="L68" i="12" s="1"/>
  <c r="M121" i="12" s="1"/>
  <c r="S121" i="12" s="1"/>
  <c r="K343" i="9"/>
  <c r="L56" i="12" s="1"/>
  <c r="S56" i="12" s="1"/>
  <c r="P31" i="15"/>
  <c r="D326" i="9"/>
  <c r="K349" i="9"/>
  <c r="L62" i="12" s="1"/>
  <c r="S62" i="12" s="1"/>
  <c r="Y335" i="9"/>
  <c r="Y332" i="9"/>
  <c r="K342" i="9"/>
  <c r="L55" i="12" s="1"/>
  <c r="S55" i="12" s="1"/>
  <c r="U335" i="9"/>
  <c r="U332" i="9"/>
  <c r="K344" i="9" s="1"/>
  <c r="L57" i="12" s="1"/>
  <c r="S57" i="12" s="1"/>
  <c r="W67" i="9"/>
  <c r="S157" i="7"/>
  <c r="U67" i="9" s="1"/>
  <c r="S67" i="9"/>
  <c r="I157" i="7"/>
  <c r="K67" i="9" s="1"/>
  <c r="I67" i="9"/>
  <c r="S68" i="12" l="1"/>
  <c r="K345" i="9"/>
  <c r="L58" i="12" s="1"/>
  <c r="S58" i="12" s="1"/>
  <c r="M114" i="12" s="1"/>
  <c r="S114" i="12" s="1"/>
  <c r="K353" i="9"/>
  <c r="L66" i="12" s="1"/>
  <c r="S66" i="12" s="1"/>
  <c r="V61" i="9"/>
  <c r="T61" i="9"/>
  <c r="L61" i="9"/>
  <c r="J61" i="9"/>
  <c r="J62" i="9" l="1"/>
  <c r="D52" i="9"/>
  <c r="V106" i="9" l="1"/>
  <c r="V107" i="9" s="1"/>
  <c r="F114" i="9" s="1"/>
  <c r="R106" i="9"/>
  <c r="P106" i="9"/>
  <c r="N106" i="9"/>
  <c r="B238" i="9" s="1"/>
  <c r="L106" i="9"/>
  <c r="L107" i="9" s="1"/>
  <c r="F106" i="9"/>
  <c r="B237" i="9" s="1"/>
  <c r="J106" i="9"/>
  <c r="H106" i="9"/>
  <c r="B234" i="9" l="1"/>
  <c r="P107" i="9"/>
  <c r="H107" i="9"/>
  <c r="N107" i="9"/>
  <c r="F107" i="9"/>
  <c r="D106" i="9"/>
  <c r="D107" i="9" s="1"/>
  <c r="B106" i="9"/>
  <c r="M67" i="9"/>
  <c r="R94" i="7"/>
  <c r="S58" i="15" s="1"/>
  <c r="B212" i="9"/>
  <c r="B215" i="9"/>
  <c r="F110" i="9"/>
  <c r="C91" i="7" s="1"/>
  <c r="D110" i="9"/>
  <c r="C89" i="7" s="1"/>
  <c r="B110" i="9"/>
  <c r="C87" i="7" s="1"/>
  <c r="S138" i="7" l="1"/>
  <c r="B210" i="9"/>
  <c r="E114" i="9"/>
  <c r="B107" i="9"/>
  <c r="D114" i="9" s="1"/>
  <c r="M123" i="9"/>
  <c r="L123" i="9"/>
  <c r="K123" i="9"/>
  <c r="M118" i="1"/>
  <c r="M132" i="7" l="1"/>
  <c r="S37" i="7"/>
  <c r="M8" i="7"/>
  <c r="M43" i="15" s="1"/>
  <c r="C114" i="9"/>
  <c r="O38" i="7" l="1"/>
  <c r="B206" i="9"/>
  <c r="C35" i="7"/>
  <c r="C20" i="6"/>
  <c r="N52" i="9"/>
  <c r="J52" i="9" s="1"/>
  <c r="J38" i="9" l="1"/>
  <c r="W46" i="9" s="1"/>
  <c r="S26" i="7" s="1"/>
  <c r="J30" i="9"/>
  <c r="W45" i="9" s="1"/>
  <c r="S23" i="7" s="1"/>
  <c r="J22" i="9"/>
  <c r="W44" i="9" s="1"/>
  <c r="S19" i="7" s="1"/>
  <c r="J14" i="9"/>
  <c r="W43" i="9" s="1"/>
  <c r="S14" i="7" s="1"/>
  <c r="D38" i="9"/>
  <c r="D30" i="9"/>
  <c r="D22" i="9"/>
  <c r="D14" i="9"/>
  <c r="T37" i="9"/>
  <c r="Q37" i="9"/>
  <c r="Q29" i="9"/>
  <c r="Q13" i="9"/>
  <c r="T33" i="9"/>
  <c r="U43" i="9" l="1"/>
  <c r="S13" i="7" s="1"/>
  <c r="U44" i="9"/>
  <c r="S18" i="7" s="1"/>
  <c r="U45" i="9"/>
  <c r="S22" i="7" s="1"/>
  <c r="R43" i="9"/>
  <c r="S11" i="7" s="1"/>
  <c r="R44" i="9"/>
  <c r="S16" i="7" s="1"/>
  <c r="R45" i="9"/>
  <c r="S21" i="7" s="1"/>
  <c r="Q21" i="9"/>
  <c r="S31" i="7"/>
  <c r="S49" i="15" s="1"/>
  <c r="T46" i="9"/>
  <c r="R25" i="7" s="1"/>
  <c r="U46" i="9"/>
  <c r="S25" i="7" s="1"/>
  <c r="W47" i="9"/>
  <c r="N44" i="9"/>
  <c r="R17" i="7" s="1"/>
  <c r="O43" i="9"/>
  <c r="S12" i="7" s="1"/>
  <c r="O44" i="9"/>
  <c r="S17" i="7" s="1"/>
  <c r="N43" i="9"/>
  <c r="R12" i="7" s="1"/>
  <c r="T12" i="9"/>
  <c r="V12" i="9"/>
  <c r="U11" i="9"/>
  <c r="U10" i="9"/>
  <c r="V11" i="9"/>
  <c r="T10" i="9"/>
  <c r="V10" i="9"/>
  <c r="T11" i="9"/>
  <c r="U9" i="9"/>
  <c r="V9" i="9"/>
  <c r="U12" i="9"/>
  <c r="S33" i="9"/>
  <c r="R33" i="9"/>
  <c r="R34" i="9"/>
  <c r="T34" i="9"/>
  <c r="V36" i="9"/>
  <c r="U34" i="9"/>
  <c r="V34" i="9"/>
  <c r="T35" i="9"/>
  <c r="U33" i="9"/>
  <c r="V35" i="9"/>
  <c r="U35" i="9"/>
  <c r="V33" i="9"/>
  <c r="T36" i="9"/>
  <c r="U36" i="9"/>
  <c r="Q36" i="9"/>
  <c r="R36" i="9"/>
  <c r="Q35" i="9"/>
  <c r="S36" i="9"/>
  <c r="R35" i="9"/>
  <c r="Q34" i="9"/>
  <c r="S35" i="9"/>
  <c r="S34" i="9"/>
  <c r="U27" i="9"/>
  <c r="V27" i="9"/>
  <c r="U25" i="9"/>
  <c r="T28" i="9"/>
  <c r="V25" i="9"/>
  <c r="U28" i="9"/>
  <c r="T26" i="9"/>
  <c r="V28" i="9"/>
  <c r="U26" i="9"/>
  <c r="V26" i="9"/>
  <c r="T27" i="9"/>
  <c r="Q26" i="9"/>
  <c r="R26" i="9"/>
  <c r="R25" i="9"/>
  <c r="S25" i="9"/>
  <c r="Q28" i="9"/>
  <c r="R28" i="9"/>
  <c r="Q27" i="9"/>
  <c r="S28" i="9"/>
  <c r="R27" i="9"/>
  <c r="S27" i="9"/>
  <c r="S26" i="9"/>
  <c r="S19" i="9"/>
  <c r="Q18" i="9"/>
  <c r="S18" i="9"/>
  <c r="Q19" i="9"/>
  <c r="R17" i="9"/>
  <c r="Q20" i="9"/>
  <c r="S17" i="9"/>
  <c r="S20" i="9"/>
  <c r="R20" i="9"/>
  <c r="R18" i="9"/>
  <c r="R19" i="9"/>
  <c r="V17" i="9"/>
  <c r="T20" i="9"/>
  <c r="U20" i="9"/>
  <c r="T19" i="9"/>
  <c r="V20" i="9"/>
  <c r="T18" i="9"/>
  <c r="U17" i="9"/>
  <c r="U19" i="9"/>
  <c r="V19" i="9"/>
  <c r="U18" i="9"/>
  <c r="V18" i="9"/>
  <c r="R10" i="9"/>
  <c r="Q12" i="9"/>
  <c r="Q11" i="9"/>
  <c r="S11" i="9"/>
  <c r="S9" i="9"/>
  <c r="S12" i="9"/>
  <c r="Q10" i="9"/>
  <c r="S10" i="9"/>
  <c r="R9" i="9"/>
  <c r="R12" i="9"/>
  <c r="R11" i="9"/>
  <c r="C118" i="1"/>
  <c r="C132" i="7" l="1"/>
  <c r="T9" i="9"/>
  <c r="T43" i="9"/>
  <c r="T17" i="9"/>
  <c r="T44" i="9"/>
  <c r="R18" i="7" s="1"/>
  <c r="T25" i="9"/>
  <c r="T45" i="9"/>
  <c r="T13" i="9"/>
  <c r="Q43" i="9"/>
  <c r="R11" i="7" s="1"/>
  <c r="T21" i="9"/>
  <c r="Q44" i="9"/>
  <c r="R16" i="7" s="1"/>
  <c r="T29" i="9"/>
  <c r="Q45" i="9"/>
  <c r="Q33" i="9"/>
  <c r="F37" i="9" s="1"/>
  <c r="Q25" i="9"/>
  <c r="F29" i="9" s="1"/>
  <c r="Q17" i="9"/>
  <c r="F21" i="9" s="1"/>
  <c r="Q9" i="9"/>
  <c r="C37" i="7"/>
  <c r="M122" i="9"/>
  <c r="M124" i="9" s="1"/>
  <c r="K122" i="9"/>
  <c r="K124" i="9" s="1"/>
  <c r="L122" i="9"/>
  <c r="L124" i="9" s="1"/>
  <c r="S27" i="7"/>
  <c r="T17" i="7"/>
  <c r="D41" i="1"/>
  <c r="P44" i="9"/>
  <c r="U47" i="9"/>
  <c r="V46" i="9"/>
  <c r="P43" i="9"/>
  <c r="N47" i="9"/>
  <c r="L37" i="9"/>
  <c r="R47" i="9"/>
  <c r="O47" i="9"/>
  <c r="N41" i="1"/>
  <c r="O91" i="1" l="1"/>
  <c r="E91" i="1"/>
  <c r="E76" i="1"/>
  <c r="E61" i="1"/>
  <c r="C8" i="7"/>
  <c r="C43" i="15" s="1"/>
  <c r="L21" i="9"/>
  <c r="S45" i="9"/>
  <c r="R21" i="7"/>
  <c r="V43" i="9"/>
  <c r="R13" i="7"/>
  <c r="V45" i="9"/>
  <c r="R22" i="7"/>
  <c r="W48" i="9"/>
  <c r="G45" i="9"/>
  <c r="H21" i="7" s="1"/>
  <c r="N94" i="7"/>
  <c r="I58" i="15" s="1"/>
  <c r="K46" i="9"/>
  <c r="I25" i="7" s="1"/>
  <c r="M46" i="9"/>
  <c r="I26" i="7" s="1"/>
  <c r="D44" i="9"/>
  <c r="H17" i="7" s="1"/>
  <c r="T62" i="9"/>
  <c r="O121" i="9" s="1"/>
  <c r="E43" i="9"/>
  <c r="I12" i="7" s="1"/>
  <c r="H45" i="9"/>
  <c r="I21" i="7" s="1"/>
  <c r="J45" i="9"/>
  <c r="H22" i="7" s="1"/>
  <c r="K44" i="9"/>
  <c r="I18" i="7" s="1"/>
  <c r="M43" i="9"/>
  <c r="I14" i="7" s="1"/>
  <c r="M44" i="9"/>
  <c r="I19" i="7" s="1"/>
  <c r="H44" i="9"/>
  <c r="I16" i="7" s="1"/>
  <c r="J46" i="9"/>
  <c r="H25" i="7" s="1"/>
  <c r="H43" i="9"/>
  <c r="I11" i="7" s="1"/>
  <c r="D43" i="9"/>
  <c r="H12" i="7" s="1"/>
  <c r="G44" i="9"/>
  <c r="H16" i="7" s="1"/>
  <c r="K45" i="9"/>
  <c r="I22" i="7" s="1"/>
  <c r="K43" i="9"/>
  <c r="I13" i="7" s="1"/>
  <c r="M45" i="9"/>
  <c r="I23" i="7" s="1"/>
  <c r="E44" i="9"/>
  <c r="I17" i="7" s="1"/>
  <c r="J44" i="9"/>
  <c r="H18" i="7" s="1"/>
  <c r="L29" i="9"/>
  <c r="V44" i="9"/>
  <c r="S43" i="9"/>
  <c r="G43" i="9"/>
  <c r="H11" i="7" s="1"/>
  <c r="J43" i="9"/>
  <c r="H13" i="7" s="1"/>
  <c r="Q47" i="9"/>
  <c r="N51" i="9" s="1"/>
  <c r="M120" i="1" s="1"/>
  <c r="L13" i="9"/>
  <c r="O46" i="1" s="1"/>
  <c r="T11" i="7"/>
  <c r="T47" i="9"/>
  <c r="T56" i="9" s="1"/>
  <c r="S44" i="9"/>
  <c r="U56" i="9"/>
  <c r="U57" i="9" s="1"/>
  <c r="R42" i="7" s="1"/>
  <c r="R39" i="9"/>
  <c r="K121" i="9" s="1"/>
  <c r="F13" i="9"/>
  <c r="E46" i="1" s="1"/>
  <c r="B121" i="9"/>
  <c r="R27" i="7"/>
  <c r="R29" i="7"/>
  <c r="R47" i="15" s="1"/>
  <c r="S29" i="7"/>
  <c r="S47" i="15" s="1"/>
  <c r="T12" i="7"/>
  <c r="T18" i="7"/>
  <c r="O56" i="9"/>
  <c r="P47" i="9"/>
  <c r="U124" i="9" l="1"/>
  <c r="T22" i="7"/>
  <c r="T13" i="7"/>
  <c r="I138" i="7"/>
  <c r="T27" i="7"/>
  <c r="O76" i="1"/>
  <c r="O61" i="1"/>
  <c r="U48" i="9"/>
  <c r="S124" i="9"/>
  <c r="T124" i="9"/>
  <c r="R124" i="9"/>
  <c r="T48" i="9"/>
  <c r="H47" i="9"/>
  <c r="J21" i="7"/>
  <c r="H27" i="7"/>
  <c r="J17" i="7"/>
  <c r="I44" i="9"/>
  <c r="D47" i="9"/>
  <c r="J18" i="7"/>
  <c r="F44" i="9"/>
  <c r="K47" i="9"/>
  <c r="L45" i="9"/>
  <c r="I45" i="9"/>
  <c r="E47" i="9"/>
  <c r="L44" i="9"/>
  <c r="J22" i="7"/>
  <c r="L43" i="9"/>
  <c r="L46" i="9"/>
  <c r="F43" i="9"/>
  <c r="I31" i="7"/>
  <c r="I49" i="15" s="1"/>
  <c r="J16" i="7"/>
  <c r="M47" i="9"/>
  <c r="Q124" i="9"/>
  <c r="T21" i="7"/>
  <c r="R24" i="7"/>
  <c r="S24" i="7"/>
  <c r="S20" i="7"/>
  <c r="J47" i="9"/>
  <c r="J56" i="9" s="1"/>
  <c r="S47" i="9"/>
  <c r="N56" i="9"/>
  <c r="R74" i="7" s="1"/>
  <c r="I43" i="9"/>
  <c r="G47" i="9"/>
  <c r="G48" i="9" s="1"/>
  <c r="M37" i="15" s="1"/>
  <c r="S30" i="7"/>
  <c r="S48" i="15" s="1"/>
  <c r="S28" i="7"/>
  <c r="S46" i="15" s="1"/>
  <c r="S15" i="7"/>
  <c r="V47" i="9"/>
  <c r="V56" i="9"/>
  <c r="N124" i="9"/>
  <c r="O51" i="9"/>
  <c r="M126" i="1" s="1"/>
  <c r="T126" i="1"/>
  <c r="T25" i="7"/>
  <c r="T29" i="7"/>
  <c r="T47" i="15" s="1"/>
  <c r="R20" i="7"/>
  <c r="R28" i="7"/>
  <c r="R46" i="15" s="1"/>
  <c r="T16" i="7"/>
  <c r="R30" i="7"/>
  <c r="R48" i="15" s="1"/>
  <c r="R15" i="7"/>
  <c r="K48" i="9" l="1"/>
  <c r="J48" i="9"/>
  <c r="S79" i="15" s="1"/>
  <c r="M48" i="9"/>
  <c r="S77" i="15" s="1"/>
  <c r="I29" i="7"/>
  <c r="I47" i="15" s="1"/>
  <c r="I27" i="7"/>
  <c r="F47" i="9"/>
  <c r="K56" i="9"/>
  <c r="K57" i="9" s="1"/>
  <c r="N42" i="7" s="1"/>
  <c r="H24" i="7"/>
  <c r="I24" i="7"/>
  <c r="E56" i="9"/>
  <c r="I20" i="7"/>
  <c r="H20" i="7"/>
  <c r="H29" i="7"/>
  <c r="H47" i="15" s="1"/>
  <c r="T24" i="7"/>
  <c r="O57" i="9"/>
  <c r="R44" i="7" s="1"/>
  <c r="O58" i="9"/>
  <c r="R54" i="7" s="1"/>
  <c r="T20" i="7"/>
  <c r="T30" i="7"/>
  <c r="T48" i="15" s="1"/>
  <c r="L47" i="9"/>
  <c r="P56" i="9"/>
  <c r="J13" i="7"/>
  <c r="I30" i="7"/>
  <c r="I48" i="15" s="1"/>
  <c r="I15" i="7"/>
  <c r="S32" i="7"/>
  <c r="S50" i="15" s="1"/>
  <c r="D56" i="9"/>
  <c r="I47" i="9"/>
  <c r="H110" i="9"/>
  <c r="C79" i="7" s="1"/>
  <c r="D51" i="9"/>
  <c r="T28" i="7"/>
  <c r="T46" i="15" s="1"/>
  <c r="I28" i="7"/>
  <c r="I46" i="15" s="1"/>
  <c r="T15" i="7"/>
  <c r="J25" i="7"/>
  <c r="H30" i="7"/>
  <c r="H48" i="15" s="1"/>
  <c r="R32" i="7"/>
  <c r="R50" i="15" s="1"/>
  <c r="J27" i="7" l="1"/>
  <c r="R46" i="7"/>
  <c r="J29" i="7"/>
  <c r="J47" i="15" s="1"/>
  <c r="L56" i="9"/>
  <c r="J20" i="7"/>
  <c r="J24" i="7"/>
  <c r="J12" i="7"/>
  <c r="I32" i="7"/>
  <c r="I50" i="15" s="1"/>
  <c r="J30" i="7"/>
  <c r="J48" i="15" s="1"/>
  <c r="E51" i="9"/>
  <c r="C126" i="1" s="1"/>
  <c r="W52" i="9"/>
  <c r="L121" i="9" s="1"/>
  <c r="K125" i="9" s="1"/>
  <c r="K127" i="9" s="1"/>
  <c r="C120" i="1"/>
  <c r="J126" i="1"/>
  <c r="N74" i="7"/>
  <c r="E58" i="9"/>
  <c r="N54" i="7" s="1"/>
  <c r="E57" i="9"/>
  <c r="N44" i="7" s="1"/>
  <c r="F56" i="9"/>
  <c r="T32" i="7"/>
  <c r="T50" i="15" s="1"/>
  <c r="J11" i="7"/>
  <c r="H28" i="7"/>
  <c r="H46" i="15" s="1"/>
  <c r="H15" i="7"/>
  <c r="K62" i="7"/>
  <c r="C60" i="7"/>
  <c r="A114" i="9"/>
  <c r="B114" i="9" s="1"/>
  <c r="S33" i="15" s="1"/>
  <c r="C68" i="7"/>
  <c r="J28" i="7" l="1"/>
  <c r="J46" i="15" s="1"/>
  <c r="N46" i="7"/>
  <c r="R49" i="7"/>
  <c r="J15" i="7"/>
  <c r="M66" i="7"/>
  <c r="Q66" i="7"/>
  <c r="C225" i="9"/>
  <c r="H32" i="7"/>
  <c r="H50" i="15" s="1"/>
  <c r="M121" i="9"/>
  <c r="M125" i="9" s="1"/>
  <c r="M127" i="9" s="1"/>
  <c r="B218" i="9"/>
  <c r="C62" i="7" s="1"/>
  <c r="T106" i="9"/>
  <c r="K60" i="7"/>
  <c r="R51" i="7" l="1"/>
  <c r="N49" i="7"/>
  <c r="J32" i="7"/>
  <c r="J50" i="15" s="1"/>
  <c r="B124" i="9"/>
  <c r="B230" i="9"/>
  <c r="B231" i="9"/>
  <c r="B229" i="9"/>
  <c r="B228" i="9"/>
  <c r="N51" i="7" l="1"/>
  <c r="R56" i="7"/>
  <c r="U125" i="9"/>
  <c r="S125" i="9"/>
  <c r="T125" i="9"/>
  <c r="R125" i="9"/>
  <c r="B226" i="9"/>
  <c r="C66" i="7" s="1"/>
  <c r="N125" i="9"/>
  <c r="Q125" i="9"/>
  <c r="B205" i="9"/>
  <c r="R64" i="7" l="1"/>
  <c r="N56" i="7"/>
  <c r="C6" i="7"/>
  <c r="N64" i="7" l="1"/>
  <c r="R66" i="7"/>
  <c r="R68" i="7" l="1"/>
  <c r="N66" i="7"/>
  <c r="N68" i="7" l="1"/>
  <c r="R72" i="7"/>
  <c r="N72" i="7" l="1"/>
  <c r="N76" i="7" s="1"/>
  <c r="R76" i="7"/>
  <c r="N83" i="7" l="1"/>
  <c r="R83" i="7"/>
  <c r="R89" i="7" s="1"/>
  <c r="N91" i="7" l="1"/>
  <c r="N87" i="7"/>
  <c r="N89" i="7"/>
  <c r="R91" i="7"/>
  <c r="R87" i="7"/>
  <c r="N98" i="7" l="1"/>
  <c r="N96" i="7"/>
  <c r="I54" i="15" s="1"/>
  <c r="R96" i="7"/>
  <c r="S54" i="15" s="1"/>
  <c r="R98" i="7"/>
  <c r="S56" i="15" l="1"/>
  <c r="I136" i="7"/>
  <c r="F61" i="9" s="1"/>
  <c r="I56" i="15"/>
  <c r="I134" i="7"/>
  <c r="I142" i="7" s="1"/>
  <c r="B175" i="9"/>
  <c r="S134" i="7"/>
  <c r="S142" i="7" s="1"/>
  <c r="B176" i="9"/>
  <c r="S136" i="7"/>
  <c r="P61" i="9" l="1"/>
  <c r="I143" i="7"/>
  <c r="S143" i="7"/>
  <c r="B174" i="9"/>
  <c r="S81" i="15" s="1"/>
  <c r="K64" i="9" l="1"/>
  <c r="O77" i="9" s="1"/>
  <c r="G142" i="7"/>
  <c r="Q142" i="7"/>
  <c r="U64" i="9"/>
  <c r="Q77" i="9" s="1"/>
  <c r="Z342" i="9" s="1"/>
  <c r="AA330" i="9" s="1"/>
  <c r="AA337" i="9" s="1"/>
  <c r="B177" i="9"/>
  <c r="B173" i="9" s="1"/>
  <c r="J156" i="7"/>
  <c r="T156" i="7"/>
  <c r="T158" i="7" s="1"/>
  <c r="R1" i="15" l="1"/>
  <c r="R1" i="16"/>
  <c r="N80" i="9"/>
  <c r="U342" i="9"/>
  <c r="W330" i="9" s="1"/>
  <c r="W337" i="9" s="1"/>
  <c r="K354" i="9" s="1"/>
  <c r="L67" i="12" s="1"/>
  <c r="S67" i="12" s="1"/>
  <c r="Q64" i="9"/>
  <c r="W64" i="9" s="1"/>
  <c r="M150" i="7" s="1"/>
  <c r="Q143" i="7"/>
  <c r="R61" i="9" s="1"/>
  <c r="P62" i="9" s="1"/>
  <c r="G64" i="9"/>
  <c r="M64" i="9" s="1"/>
  <c r="C150" i="7" s="1"/>
  <c r="G143" i="7"/>
  <c r="H61" i="9" s="1"/>
  <c r="F62" i="9" s="1"/>
  <c r="O80" i="9"/>
  <c r="I69" i="15" s="1"/>
  <c r="Q80" i="9"/>
  <c r="S69" i="15" s="1"/>
  <c r="P80" i="9"/>
  <c r="O142" i="7"/>
  <c r="O144" i="7" s="1"/>
  <c r="S156" i="7"/>
  <c r="T67" i="9" s="1"/>
  <c r="U68" i="9" s="1"/>
  <c r="R1" i="12"/>
  <c r="R1" i="6"/>
  <c r="R1" i="13"/>
  <c r="R1" i="1"/>
  <c r="R1" i="14"/>
  <c r="R1" i="11"/>
  <c r="R1" i="7"/>
  <c r="V67" i="9"/>
  <c r="V68" i="9" s="1"/>
  <c r="J158" i="7"/>
  <c r="L67" i="9"/>
  <c r="E142" i="7"/>
  <c r="I156" i="7"/>
  <c r="N121" i="9" l="1"/>
  <c r="S144" i="7"/>
  <c r="S158" i="7"/>
  <c r="T68" i="9"/>
  <c r="Q144" i="7"/>
  <c r="R156" i="7"/>
  <c r="R158" i="7" s="1"/>
  <c r="W68" i="9"/>
  <c r="M68" i="9"/>
  <c r="L68" i="9"/>
  <c r="I158" i="7"/>
  <c r="J67" i="9"/>
  <c r="E144" i="7"/>
  <c r="H156" i="7"/>
  <c r="G144" i="7"/>
  <c r="I144" i="7"/>
  <c r="R67" i="9" l="1"/>
  <c r="R68" i="9" s="1"/>
  <c r="H158" i="7"/>
  <c r="H67" i="9"/>
  <c r="K68" i="9"/>
  <c r="J68" i="9"/>
  <c r="S68" i="9" l="1"/>
  <c r="H68" i="9"/>
  <c r="P121" i="9" s="1"/>
  <c r="N126" i="9" s="1"/>
  <c r="N127" i="9" s="1"/>
  <c r="I68" i="9"/>
  <c r="Q121" i="9" l="1"/>
  <c r="Q126" i="9" s="1"/>
  <c r="E127" i="9" s="1"/>
  <c r="B127" i="9"/>
  <c r="N48" i="12" l="1"/>
  <c r="N50" i="12"/>
  <c r="Q75" i="14"/>
  <c r="Q76" i="14"/>
  <c r="N45" i="12"/>
  <c r="S45" i="12" s="1"/>
  <c r="Q72" i="14"/>
  <c r="N42" i="12"/>
  <c r="S42" i="12" s="1"/>
  <c r="S126" i="9"/>
  <c r="B36" i="12"/>
  <c r="N71" i="14"/>
  <c r="D174" i="7"/>
  <c r="Q73" i="14"/>
  <c r="N43" i="12"/>
  <c r="N44" i="12"/>
  <c r="S44" i="12" s="1"/>
  <c r="Q74" i="14"/>
  <c r="N46" i="12"/>
  <c r="S46" i="12" s="1"/>
  <c r="U126" i="9"/>
  <c r="C36" i="12" l="1"/>
  <c r="N49" i="12"/>
  <c r="D51" i="12" s="1"/>
  <c r="M47" i="12"/>
  <c r="S43" i="12"/>
  <c r="S47" i="12" s="1"/>
  <c r="R121" i="9" l="1"/>
  <c r="R126" i="9" s="1"/>
  <c r="R174" i="12"/>
  <c r="P56" i="14"/>
  <c r="K71" i="14"/>
  <c r="Q71" i="14" s="1"/>
  <c r="M127" i="12"/>
  <c r="S127" i="12" s="1"/>
  <c r="S132" i="12" s="1"/>
  <c r="S75" i="12"/>
  <c r="S90" i="12" s="1"/>
  <c r="S76" i="12" l="1"/>
  <c r="S77" i="12"/>
  <c r="S79" i="12" l="1"/>
  <c r="M80" i="12" s="1"/>
  <c r="S80" i="12" l="1"/>
  <c r="S84" i="12" l="1"/>
  <c r="S85" i="12" l="1"/>
  <c r="S88" i="12" s="1"/>
  <c r="M96" i="12" s="1"/>
  <c r="S96" i="12" s="1"/>
  <c r="K86" i="15" l="1"/>
  <c r="P94" i="15" s="1"/>
  <c r="M98" i="12" l="1"/>
  <c r="S98" i="12" s="1"/>
  <c r="S100" i="12" s="1"/>
  <c r="R100" i="12" s="1"/>
  <c r="S89" i="12"/>
  <c r="Q86" i="15" s="1"/>
  <c r="K90" i="15" l="1"/>
  <c r="K88" i="15"/>
  <c r="N88" i="15" l="1"/>
  <c r="Q88" i="15"/>
  <c r="S104" i="12" l="1"/>
  <c r="Q92" i="15" s="1"/>
  <c r="Q104" i="12" l="1"/>
  <c r="T121" i="9"/>
  <c r="T126" i="9" s="1"/>
  <c r="E124" i="9" s="1"/>
  <c r="B17" i="15" s="1"/>
  <c r="S106" i="12"/>
  <c r="Q96" i="15" s="1"/>
  <c r="P96" i="15" s="1"/>
  <c r="R127" i="9" l="1"/>
  <c r="K128" i="9" s="1"/>
  <c r="B137" i="9" s="1"/>
  <c r="B136" i="9" s="1"/>
  <c r="C1" i="16" s="1"/>
  <c r="Q106" i="12"/>
  <c r="M116" i="12"/>
  <c r="S116" i="12" s="1"/>
  <c r="M115" i="12"/>
  <c r="S115" i="12" s="1"/>
  <c r="S108" i="12"/>
  <c r="S117" i="12" l="1"/>
  <c r="S134" i="12" s="1"/>
  <c r="S156" i="12" s="1"/>
  <c r="R176" i="12" s="1"/>
  <c r="P37" i="14"/>
  <c r="Q98" i="15"/>
  <c r="S165" i="12" l="1"/>
  <c r="S166" i="12" s="1"/>
  <c r="G108" i="15"/>
  <c r="R168" i="12"/>
  <c r="S169" i="12"/>
  <c r="R112" i="15" s="1"/>
  <c r="C1" i="15"/>
  <c r="C1" i="1"/>
  <c r="C1" i="14"/>
  <c r="C1" i="11"/>
  <c r="C1" i="6"/>
  <c r="C1" i="13"/>
  <c r="C1" i="7"/>
  <c r="C1" i="12"/>
  <c r="P51" i="14"/>
  <c r="G103" i="15"/>
  <c r="Q101" i="15" s="1"/>
  <c r="R151" i="12"/>
  <c r="S157" i="12" l="1"/>
  <c r="L108" i="15" s="1"/>
  <c r="S158" i="12" l="1"/>
  <c r="Q108" i="1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<sst xmlns="http://schemas.openxmlformats.org/spreadsheetml/2006/main" count="2156" uniqueCount="1077">
  <si>
    <t>Wildparker</t>
  </si>
  <si>
    <t>optimal</t>
  </si>
  <si>
    <t>nicht-optimal</t>
  </si>
  <si>
    <t>freistehend</t>
  </si>
  <si>
    <t>Vorderradhalter</t>
  </si>
  <si>
    <t>Anlehnbügel</t>
  </si>
  <si>
    <t>Doppelstockparker</t>
  </si>
  <si>
    <t>überdacht…</t>
  </si>
  <si>
    <t>Anzahl</t>
  </si>
  <si>
    <t>INTERN - nicht ändern, nicht löschen</t>
  </si>
  <si>
    <t>Ausbaureserve</t>
  </si>
  <si>
    <t>%</t>
  </si>
  <si>
    <t>Trendfaktor</t>
  </si>
  <si>
    <t>Entfernung</t>
  </si>
  <si>
    <t>Variable Textbausteine (TBS)</t>
  </si>
  <si>
    <t>Fahrradparkhaus</t>
  </si>
  <si>
    <t>Manuelle Eingabe</t>
  </si>
  <si>
    <t>Bestand und Auslastung</t>
  </si>
  <si>
    <t>Beispiel</t>
  </si>
  <si>
    <t>Räder</t>
  </si>
  <si>
    <t>Anzahl Stellplätze</t>
  </si>
  <si>
    <t>Typ Fahrradparker</t>
  </si>
  <si>
    <t>Verlegung optimaler Stellplätze</t>
  </si>
  <si>
    <t>R_BESTANDSEINGABE</t>
  </si>
  <si>
    <t>Bitte klicken und auswählen…</t>
  </si>
  <si>
    <t>VA_BESTANDSEINGABE</t>
  </si>
  <si>
    <t>Optionen für die Drop-Down-Felder inkl. Ausgangsvariablen bei jeweiliger Auswahl</t>
  </si>
  <si>
    <t>↓</t>
  </si>
  <si>
    <t>Bitte beide Spalten ausfüllen.</t>
  </si>
  <si>
    <t/>
  </si>
  <si>
    <t>TBS_1a</t>
  </si>
  <si>
    <t>TBS_1b</t>
  </si>
  <si>
    <t>Bitte diese Spalte ausfüllen.</t>
  </si>
  <si>
    <t>→</t>
  </si>
  <si>
    <t>↑</t>
  </si>
  <si>
    <t>Stellplätze</t>
  </si>
  <si>
    <t>Fehler</t>
  </si>
  <si>
    <t>Codierung:</t>
  </si>
  <si>
    <t>Auslastung</t>
  </si>
  <si>
    <t>Wildp.</t>
  </si>
  <si>
    <t>Summe</t>
  </si>
  <si>
    <t>bis 20 m</t>
  </si>
  <si>
    <t>20-50 m</t>
  </si>
  <si>
    <t>50-100 m</t>
  </si>
  <si>
    <t>über 100 m</t>
  </si>
  <si>
    <t>Anz. Räder:</t>
  </si>
  <si>
    <t>Unterscheidung nach Bahnhofsseiten</t>
  </si>
  <si>
    <t>Hinweise zur Bestandseingabe</t>
  </si>
  <si>
    <t>Wenn ja, bitte Anzahl der Stellplätze eingeben:</t>
  </si>
  <si>
    <t>Maximal möglich:</t>
  </si>
  <si>
    <t>VA_VERKEHRSSTATION</t>
  </si>
  <si>
    <t>VA_ZUGANG_1</t>
  </si>
  <si>
    <t>VA_ZUGANG_2</t>
  </si>
  <si>
    <t>Möglich</t>
  </si>
  <si>
    <t>Benutzereingabe</t>
  </si>
  <si>
    <t>Reisendenverkehrsprognose 2040 der DB AG</t>
  </si>
  <si>
    <t>Wie viele Ein- und Aussteiger gibt es heute?</t>
  </si>
  <si>
    <t>Wie viele Ein- und Aussteiger werden im Jahr 2040 von der DB AG erwartet?</t>
  </si>
  <si>
    <t>Bitte eine der beiden Optionen eingeben:</t>
  </si>
  <si>
    <t xml:space="preserve">  ▪   Wie hoch ist die prozentuale Veränderung der Ein- und Aussteiger von heute zum Prognosejahr?</t>
  </si>
  <si>
    <t>Kommunale Bevölkerungsprognose</t>
  </si>
  <si>
    <t>Für welches Jahr gibt es eine Bevölkerungsprognose?</t>
  </si>
  <si>
    <r>
      <t xml:space="preserve">  ▪   </t>
    </r>
    <r>
      <rPr>
        <b/>
        <sz val="11"/>
        <color theme="7"/>
        <rFont val="Calibri"/>
        <family val="2"/>
        <scheme val="minor"/>
      </rPr>
      <t>Grün hinterlegte Felder</t>
    </r>
    <r>
      <rPr>
        <sz val="11"/>
        <color theme="1"/>
        <rFont val="Calibri"/>
        <family val="2"/>
        <scheme val="minor"/>
      </rPr>
      <t xml:space="preserve"> können Sie beschreiben/überschreiben/ausfüllen.</t>
    </r>
  </si>
  <si>
    <r>
      <t xml:space="preserve">  ▪   </t>
    </r>
    <r>
      <rPr>
        <b/>
        <sz val="11"/>
        <color theme="8"/>
        <rFont val="Calibri"/>
        <family val="2"/>
        <scheme val="minor"/>
      </rPr>
      <t>Blau hinterlegte Felder</t>
    </r>
    <r>
      <rPr>
        <sz val="11"/>
        <color theme="1"/>
        <rFont val="Calibri"/>
        <family val="2"/>
        <scheme val="minor"/>
      </rPr>
      <t xml:space="preserve"> erfordern eine Auswahl aus der Auswahlliste.</t>
    </r>
  </si>
  <si>
    <t>Rückbau und Neuerrichtung optimaler Stellplätze</t>
  </si>
  <si>
    <t>Ist es angedacht, eine bestimmte Anzahl dieser Stellplätze rückzubauen und baugleich</t>
  </si>
  <si>
    <t>←</t>
  </si>
  <si>
    <t>Schwerpunkt Diebstahl und/oder Vandalismus</t>
  </si>
  <si>
    <t>Erwartete Änderung der Reisendenzahlen im Vergleich zu heute in Prozent:</t>
  </si>
  <si>
    <t>← bitte ausfüllen</t>
  </si>
  <si>
    <t>← nur eine Eingabe möglich</t>
  </si>
  <si>
    <t>VA_TFAUSWAHL</t>
  </si>
  <si>
    <t>R_TFAUSWAHL</t>
  </si>
  <si>
    <t>Welche der vier Eingabeoptionen für die Berechnung des Trendfaktors möchten Sie verwenden?</t>
  </si>
  <si>
    <t>(bitte Feld anklicken und ggf. Auswahl ändern)</t>
  </si>
  <si>
    <t>VP_0_EAHEUTE</t>
  </si>
  <si>
    <t>VP_1_DBEA2040</t>
  </si>
  <si>
    <t>VP_3_BVHEUTE</t>
  </si>
  <si>
    <t>VP_3_BVJAHR</t>
  </si>
  <si>
    <t>VP_3_BVZUKUNFT</t>
  </si>
  <si>
    <t>VP_3_BVTF</t>
  </si>
  <si>
    <t>VP_3_UVB</t>
  </si>
  <si>
    <t>gleichbleibend</t>
  </si>
  <si>
    <t>moderat ansteigend</t>
  </si>
  <si>
    <t>stark ansteigend</t>
  </si>
  <si>
    <t>R_UVB</t>
  </si>
  <si>
    <t>VP_4_METF</t>
  </si>
  <si>
    <t>VP_5_DIEBSTAHL</t>
  </si>
  <si>
    <t>VP_5_ENTGELTFREI</t>
  </si>
  <si>
    <t>VP_5_PENDLER</t>
  </si>
  <si>
    <t>F:</t>
  </si>
  <si>
    <t>VA_TF</t>
  </si>
  <si>
    <t>P_1</t>
  </si>
  <si>
    <t>P_2</t>
  </si>
  <si>
    <t>P_3</t>
  </si>
  <si>
    <t>P_4</t>
  </si>
  <si>
    <t>IST-Potenzial</t>
  </si>
  <si>
    <t>für IST-Potenzial</t>
  </si>
  <si>
    <t>für IST-Bedarf</t>
  </si>
  <si>
    <t>abgestellte Räder</t>
  </si>
  <si>
    <t>nicht-optimal + Wildparker</t>
  </si>
  <si>
    <t>TBS_2</t>
  </si>
  <si>
    <t>20 bis 50 m</t>
  </si>
  <si>
    <t>50 bis 100 m</t>
  </si>
  <si>
    <t>Gesamt</t>
  </si>
  <si>
    <t>---</t>
  </si>
  <si>
    <t>+</t>
  </si>
  <si>
    <t>=</t>
  </si>
  <si>
    <t>Ausgangswert für die Berechnung der Ausbaureserve</t>
  </si>
  <si>
    <t>beide Standorte separat betrachten</t>
  </si>
  <si>
    <t>IST-Bedarf (Übertrag von oben)</t>
  </si>
  <si>
    <t>Abzug bereits bestehender optimaler Stellplätze</t>
  </si>
  <si>
    <t>−</t>
  </si>
  <si>
    <t>Ausgangswert für die Ermittlung des Baubedarfs</t>
  </si>
  <si>
    <t>Baubedarf</t>
  </si>
  <si>
    <t>Baubedarf gesamt</t>
  </si>
  <si>
    <t>Ermittelter Baubedarf gesamt</t>
  </si>
  <si>
    <t xml:space="preserve">  ▪   davon Neuerrichtung rückgebauter optimaler Stellplätze</t>
  </si>
  <si>
    <t>Sammelschließanlage</t>
  </si>
  <si>
    <t>Sammel-
schließanlage</t>
  </si>
  <si>
    <t xml:space="preserve">Doppelstockparker </t>
  </si>
  <si>
    <t>Anzahl der unten verteilten Stellplätze:</t>
  </si>
  <si>
    <t>Verkehrsstation, Zugänge und Trendfaktor</t>
  </si>
  <si>
    <t>Fehlermanagement</t>
  </si>
  <si>
    <t>TBS_3a</t>
  </si>
  <si>
    <t>TBS_3b</t>
  </si>
  <si>
    <t>TBS_3c</t>
  </si>
  <si>
    <t>TBS_3d</t>
  </si>
  <si>
    <t>Trendfaktor ermittelt durch: keine Auswahl</t>
  </si>
  <si>
    <t>RECHENWERTE</t>
  </si>
  <si>
    <t>FEHLER-FELDER</t>
  </si>
  <si>
    <t>Hinzurechnen der Ausbaureserve (+ 40 % von Ausgangswert)</t>
  </si>
  <si>
    <t>noch zu verteilen:</t>
  </si>
  <si>
    <t>Anzahl der verteilbaren Stellplätze:</t>
  </si>
  <si>
    <t>VA_ZUSAMMEN</t>
  </si>
  <si>
    <t>R_ZUSAMMEN</t>
  </si>
  <si>
    <t>beide Standorte gemeinsam betrachten</t>
  </si>
  <si>
    <t xml:space="preserve">  ▪   Wenn Sie differenzieren, erhalten Sie in Teil C die Möglichkeit einer Auswertung je Bahnhofsseite; Sie können dann aber auch die Daten für eine Gesamtbetrachtung zusammenschalten.</t>
  </si>
  <si>
    <t>Bitte Eingabe prüfen. Rot = Zahl zu hoch. Ggf. Wildparker?</t>
  </si>
  <si>
    <t>an anderer Stelle wieder zu errichten (wird in der Baubedarfsermittlung berücksichtigt)?</t>
  </si>
  <si>
    <t>Name des Bahnhofs / Haltepunkts:</t>
  </si>
  <si>
    <t>Bahnhof / Haltepunkt</t>
  </si>
  <si>
    <r>
      <t xml:space="preserve">Abstand der Stellplätze vom nächst gelegenen Zugang: </t>
    </r>
    <r>
      <rPr>
        <b/>
        <sz val="11"/>
        <color theme="1"/>
        <rFont val="Calibri"/>
        <family val="2"/>
        <scheme val="minor"/>
      </rPr>
      <t>bis 20 m</t>
    </r>
  </si>
  <si>
    <r>
      <t xml:space="preserve">Abstand der Stellplätze vom nächst gelegenen Zugang: </t>
    </r>
    <r>
      <rPr>
        <b/>
        <sz val="11"/>
        <color theme="1"/>
        <rFont val="Calibri"/>
        <family val="2"/>
        <scheme val="minor"/>
      </rPr>
      <t>20 bis 50 m</t>
    </r>
  </si>
  <si>
    <r>
      <t xml:space="preserve">Abstand der Stellplätze vom nächst gelegenen Zugang: </t>
    </r>
    <r>
      <rPr>
        <b/>
        <sz val="11"/>
        <color theme="1"/>
        <rFont val="Calibri"/>
        <family val="2"/>
        <scheme val="minor"/>
      </rPr>
      <t>50 bis 100 m</t>
    </r>
  </si>
  <si>
    <r>
      <t xml:space="preserve">Abstand der Stellplätze vom nächst gelegenen Zugang: </t>
    </r>
    <r>
      <rPr>
        <b/>
        <sz val="11"/>
        <color theme="1"/>
        <rFont val="Calibri"/>
        <family val="2"/>
        <scheme val="minor"/>
      </rPr>
      <t>über 100 m</t>
    </r>
  </si>
  <si>
    <t>Ist es angedacht, eine bestimmte Anzahl dieser Stellplätze zurückzubauen und baugleich</t>
  </si>
  <si>
    <t>← bitte Feld anklicken und aus Drop-Down-Menü wählen</t>
  </si>
  <si>
    <t>Hoher Einpendleranteil</t>
  </si>
  <si>
    <t>Neuerrichtung optimaler Stellplätze nach vorherigem Rückbau (wenn in Teil A angegeben)</t>
  </si>
  <si>
    <t>Überdachte Abstellanlage</t>
  </si>
  <si>
    <t>Umrüstung bei bestehender Überdachung</t>
  </si>
  <si>
    <t>Errichtung inklusive Überdachung</t>
  </si>
  <si>
    <t>←  Anzahl Stellplätze</t>
  </si>
  <si>
    <t>Wie schätzen Sie ein, wird sich der Anteil des Umweltverbundes (Modal-Split) in Zukunft ändern?</t>
  </si>
  <si>
    <t>Anteil Umweltverbund (nur bei Bevölkerungsprognose relevant)</t>
  </si>
  <si>
    <t>Benötigte zusätzliche Stellplätze aufgrund Trendfaktor</t>
  </si>
  <si>
    <t>Regionale Reisendenverkehrsprognose</t>
  </si>
  <si>
    <t>Für welches Jahr gibt es eine Trendprognose?</t>
  </si>
  <si>
    <r>
      <t>Regionale Reisendenverkehrsprognose</t>
    </r>
    <r>
      <rPr>
        <i/>
        <sz val="10"/>
        <color theme="2"/>
        <rFont val="Calibri"/>
        <family val="2"/>
        <scheme val="minor"/>
      </rPr>
      <t xml:space="preserve">   (z.B. Verkehrsverbund, Bundesland, Landkreis, Gutachten…)</t>
    </r>
  </si>
  <si>
    <t>Ausgabe Fehler je Trendszenario</t>
  </si>
  <si>
    <t>Fehler A1</t>
  </si>
  <si>
    <t>Fehler A2</t>
  </si>
  <si>
    <t>TBS_F11 bis TBS_F24</t>
  </si>
  <si>
    <t>Bitte Eingabe prüfen. Rot = Zahl zu hoch.</t>
  </si>
  <si>
    <t>TBS_F3x</t>
  </si>
  <si>
    <t>VA_FEHLERMODUL</t>
  </si>
  <si>
    <t>Fehler Modul</t>
  </si>
  <si>
    <t>Auswahl BE</t>
  </si>
  <si>
    <t>Auswahl TF</t>
  </si>
  <si>
    <t>A1</t>
  </si>
  <si>
    <t>A2</t>
  </si>
  <si>
    <t>B1</t>
  </si>
  <si>
    <t>C1</t>
  </si>
  <si>
    <t>C2</t>
  </si>
  <si>
    <t>TBS_FH</t>
  </si>
  <si>
    <t>Textbaustein</t>
  </si>
  <si>
    <t>Fehlertext</t>
  </si>
  <si>
    <t>!</t>
  </si>
  <si>
    <t>Fehlerszenarien</t>
  </si>
  <si>
    <t>← wenn es sich um eine Pflichteingabe handelt, sehen Sie einen Hinweis in rot</t>
  </si>
  <si>
    <t>VP_2_RVJAHR</t>
  </si>
  <si>
    <t>VP_2_RVEA</t>
  </si>
  <si>
    <t>VP_2_RVTF</t>
  </si>
  <si>
    <t>VA_BBGESAMT</t>
  </si>
  <si>
    <t>BB1</t>
  </si>
  <si>
    <t>BB2</t>
  </si>
  <si>
    <t>es fehlen noch Daten</t>
  </si>
  <si>
    <t>bitte Daten prüfen</t>
  </si>
  <si>
    <t>Zusammenfassung und Berechnung können nicht angezeigt werden. Bitte prüfen Sie Ihre Eingaben.</t>
  </si>
  <si>
    <t>VA_FEHLER_AB</t>
  </si>
  <si>
    <t>VA_FEHLER_C</t>
  </si>
  <si>
    <t>C3</t>
  </si>
  <si>
    <t>C4</t>
  </si>
  <si>
    <t>Fehler AB</t>
  </si>
  <si>
    <t>IST-Bedarf optimaler Stellplätze</t>
  </si>
  <si>
    <t>Gesamtbedarf optimaler Stellplätze</t>
  </si>
  <si>
    <t>Gesamtbedarf optimaler Stellplätze bis 2040</t>
  </si>
  <si>
    <t>Gesamtbedarf optimaler Stellplätze (Übertrag von oben)</t>
  </si>
  <si>
    <t>Bei Zusammenschaltung:</t>
  </si>
  <si>
    <r>
      <t xml:space="preserve">Handelt es sich beim Bahnhof / Haltepunkt um einem </t>
    </r>
    <r>
      <rPr>
        <u/>
        <sz val="11"/>
        <color theme="1"/>
        <rFont val="Calibri"/>
        <family val="2"/>
        <scheme val="minor"/>
      </rPr>
      <t>Schwerpunkt</t>
    </r>
    <r>
      <rPr>
        <sz val="11"/>
        <color theme="1"/>
        <rFont val="Calibri"/>
        <family val="2"/>
        <scheme val="minor"/>
      </rPr>
      <t xml:space="preserve"> für Diebstahl und/oder Vandalismus?</t>
    </r>
  </si>
  <si>
    <t>Gibt es in der Kommune / am Bahnhof / am Haltepunkt eine hohe Zahl von</t>
  </si>
  <si>
    <t>Einpendlern (Zugankunft morgens), so dass eine sichere Nachtabstellung für Fahrräder benötigt wird?</t>
  </si>
  <si>
    <r>
      <t xml:space="preserve">Soll am Bahnhof / Haltepunkt </t>
    </r>
    <r>
      <rPr>
        <u/>
        <sz val="11"/>
        <color theme="1"/>
        <rFont val="Calibri"/>
        <family val="2"/>
        <scheme val="minor"/>
      </rPr>
      <t>erstmalig</t>
    </r>
    <r>
      <rPr>
        <sz val="11"/>
        <color theme="1"/>
        <rFont val="Calibri"/>
        <family val="2"/>
        <scheme val="minor"/>
      </rPr>
      <t xml:space="preserve"> die Möglichkeit für</t>
    </r>
  </si>
  <si>
    <t>sicheres Abstellen von Fahrrädern ermöglicht werden (Sammelschließanlage)?</t>
  </si>
  <si>
    <t>Erstmalig sicher</t>
  </si>
  <si>
    <t>VP_5_ERSTMALIGSICHER</t>
  </si>
  <si>
    <t>Radboxen</t>
  </si>
  <si>
    <t>erstmalig errichtet werden soll, können Sie dies unten angeben. Es wird dann, ausgehend vom in Teil A eingetragenen Bestand abgestellter Räder, eine Mindestanzahl sicherer Stellplätze ermittelt:</t>
  </si>
  <si>
    <t>Schema Bahnhofsseiten, Zugänge und Entfernungen</t>
  </si>
  <si>
    <t>Bau- und Abstelltypen sowie Bewertungskategorien</t>
  </si>
  <si>
    <t>VP_5_SICH_BESTAND_VORHANDEN</t>
  </si>
  <si>
    <t>Prognosewerte Reisende / Bevölkerung</t>
  </si>
  <si>
    <t>Zeige gesperrte Zellen</t>
  </si>
  <si>
    <t>CELL("protect";A1)=0</t>
  </si>
  <si>
    <t>Fehlermeldungen und Verbesserungsvorschläge</t>
  </si>
  <si>
    <t>Fahrrad-
parkhaus</t>
  </si>
  <si>
    <t>Zuordnung zu Bautypen</t>
  </si>
  <si>
    <t>verteilt</t>
  </si>
  <si>
    <t>Prozente1</t>
  </si>
  <si>
    <t>Prozente2</t>
  </si>
  <si>
    <t>Mindestbedarf</t>
  </si>
  <si>
    <t>Werte</t>
  </si>
  <si>
    <t>Fehler C1 / C2</t>
  </si>
  <si>
    <t>Summe max. 100</t>
  </si>
  <si>
    <t>Mindestbedarf unterschritten!</t>
  </si>
  <si>
    <t>Anteil *</t>
  </si>
  <si>
    <t>* in begründeten Einzelfällen, z.B. Auflage Denkmalamt o.ä.</t>
  </si>
  <si>
    <t>Fahrradboxen</t>
  </si>
  <si>
    <r>
      <rPr>
        <b/>
        <sz val="14"/>
        <color theme="7" tint="-0.249977111117893"/>
        <rFont val="Calibri"/>
        <family val="2"/>
        <scheme val="minor"/>
      </rPr>
      <t>1.</t>
    </r>
    <r>
      <rPr>
        <b/>
        <sz val="11"/>
        <color theme="7" tint="-0.249977111117893"/>
        <rFont val="Calibri"/>
        <family val="2"/>
        <scheme val="minor"/>
      </rPr>
      <t xml:space="preserve"> Zuordnung des Bedarfs zu Bautypen</t>
    </r>
  </si>
  <si>
    <t>Überdacht</t>
  </si>
  <si>
    <t>SSA</t>
  </si>
  <si>
    <t>FPH</t>
  </si>
  <si>
    <t>SOLL / IST</t>
  </si>
  <si>
    <t>Fehler C3 (zu hoch) / C4 (zu niedrig)</t>
  </si>
  <si>
    <t>Fehler C1 (Mindestbadarf) / C2 (Prozente)</t>
  </si>
  <si>
    <t>für Kostenermittlung</t>
  </si>
  <si>
    <t>VA_FEHLER_CD</t>
  </si>
  <si>
    <r>
      <t xml:space="preserve">Manuelle Eingabe Anteil (in Prozent):
</t>
    </r>
    <r>
      <rPr>
        <i/>
        <sz val="10"/>
        <color theme="7" tint="-0.249977111117893"/>
        <rFont val="Calibri"/>
        <family val="2"/>
        <scheme val="minor"/>
      </rPr>
      <t>(überdachte Abstellanlage automatisch)</t>
    </r>
  </si>
  <si>
    <t>Abstelltyp</t>
  </si>
  <si>
    <t>Bautyp</t>
  </si>
  <si>
    <t>Auswahl nicht möglich, da ein Bestand an optimalen, sicheren Abstellplätzen
vorhanden ist. Anteil kann ggf. in Teil C angepasst/erhöht werden.</t>
  </si>
  <si>
    <t>Abgestellte Fahrräder in nicht-optimalen Radabstellanlagen und Wildparker</t>
  </si>
  <si>
    <t>Hinzurechnen abgestellter Fahrräder in optimalen Radabstellanlagen, deren Auslastung unter 80 % beträgt</t>
  </si>
  <si>
    <t xml:space="preserve">  ▪   bei zu niedrigem Baubedarf: Erhöhung auf 24 zu errichtende Stellplätze</t>
  </si>
  <si>
    <t>"alle Räder":</t>
  </si>
  <si>
    <t>"alle Stellpl.":</t>
  </si>
  <si>
    <t>"Modal-Split"</t>
  </si>
  <si>
    <t>* zukünftiges Fahrgastaufkommen = aktuelles Fahrgastaufkommen x Trendfaktor (bei Bevölkerungsprognose mit Berücksichtigung Anteil Umweltverbund)</t>
  </si>
  <si>
    <t>Bewertung der Stellplätze</t>
  </si>
  <si>
    <t>Abgestellte Fahrräder in optimalen Radabstellanlagen, deren Auslastung über 80 % beträgt</t>
  </si>
  <si>
    <t>Bei Umsetzung des ermittelten Baubedarfs und voller Auslastung würde der Vor- und Nachlaufanteil B+R am zukünftigen Fahrgastaufkommen* betragen:</t>
  </si>
  <si>
    <t xml:space="preserve">  ▪   Weitere Informationen und Erläuterungen zu den einzugebenden Daten und wählbaren Parameter finden Sie während Ihrer Eingabe in den jeweiligen Abschnitten.</t>
  </si>
  <si>
    <t>Navigation (oben)</t>
  </si>
  <si>
    <r>
      <t xml:space="preserve">  ▪   </t>
    </r>
    <r>
      <rPr>
        <b/>
        <sz val="11"/>
        <color theme="9"/>
        <rFont val="Calibri"/>
        <family val="2"/>
        <scheme val="minor"/>
      </rPr>
      <t>Rot hinterlegte Felder</t>
    </r>
    <r>
      <rPr>
        <sz val="11"/>
        <color theme="1"/>
        <rFont val="Calibri"/>
        <family val="2"/>
        <scheme val="minor"/>
      </rPr>
      <t xml:space="preserve"> weisen auf Fehler in der Eingabe hin.</t>
    </r>
  </si>
  <si>
    <t>← bei Fehlern erscheint zusätzlich ein roter Hinweis in der Kopfzeile</t>
  </si>
  <si>
    <t xml:space="preserve">  ▪   Für eine genauere Auswertung haben Sie die Möglichkeit, Ihre Bestandsdaten für bis zu zwei Bahnhofsseiten zu differenzieren (optional).</t>
  </si>
  <si>
    <t>Anwendungszweck</t>
  </si>
  <si>
    <t xml:space="preserve">       eine detaillierte Beschreibung der Bau- und Abstelltypen inkl. Begriffsdefinition, Erläuterungen zum räumlichen Standort von Radabstellanlagen am Bahnhof (Entfernung zu den Zugängen)</t>
  </si>
  <si>
    <t xml:space="preserve">       sowie eine grafische Darstellung der gesamten Eingabe-, Bewertungs- und Berechnungssystematik der Teile A bis C dieser Datei.</t>
  </si>
  <si>
    <t>Mindestanforderungen, Versionsnummer und Aktualisierung</t>
  </si>
  <si>
    <t>Erläuterungsgrafiken und Begriffsdefinitionen</t>
  </si>
  <si>
    <t>Ihre Bestandsaufnahme sowie Dateneingabe sollte erfolgen:</t>
  </si>
  <si>
    <t xml:space="preserve">  ▪   Maßgeblich für den Abstand ist der kürzeste Weg zwischen Radabstellanlage und dem nächstgelegenen Zugang zu den Bahngleisen bzw. Zugang in das Bahnhofsgebäude.</t>
  </si>
  <si>
    <t>Abstand einer Radabstellanlage zum Zugang</t>
  </si>
  <si>
    <t>Bitte erheben Sie Ihre Daten differenziert nach der (kürzesten) Entfernung zwischen Radabstellanlagen / abgestellter Räder und nächstem Bahnhofszugang bzw. Zugang zu den Bahnsteigen.</t>
  </si>
  <si>
    <t>Optional können Sie Ihre Bestandsaufnahme auch für zwei verschiedene Bahnhofsseiten differenzieren (die Daten können später in der Auswertung zusammengeschaltet werden).</t>
  </si>
  <si>
    <t xml:space="preserve">  ▪   Wir empfehlen, sich vorab mit den verwendeten Begrifflichkeiten (z.B. was sind "optimale" bzw. "nicht-optimale" Stellplätze) auseinanderzusetzen. Hierzu finden Sie weiter unten auf dieser Seite</t>
  </si>
  <si>
    <t>Radverkehrsanteil am Bahnhof / Haltepunkt</t>
  </si>
  <si>
    <t xml:space="preserve">unten in diesem Abschnitt die Anzahl an (optimalen) Stellplätzen angeben, die rückgebaut und später wiedererrichtet werden sollen. </t>
  </si>
  <si>
    <t>Es gibt vier Entfernungs-Kategorien:  •  bis 20 m  •  20 bis 50 m  •  50 bis 100 m  •  über 100 m.</t>
  </si>
  <si>
    <t xml:space="preserve">  ▪   Die Eingabe unten erfolgt gestaffelt nach Entfernungen der Abstellanlagen / abgestellten Räder vom nächstgelegenen Zugang:  •  bis 20 m  •  20 bis 50 m  •  50 bis 100 m  •  über 100 m.</t>
  </si>
  <si>
    <t>Wie hoch ist die Einwohnerzahl heute?</t>
  </si>
  <si>
    <t xml:space="preserve">  ▪   Wie hoch ist die prognostizierte Einwohnerzahl im Prognosejahr?</t>
  </si>
  <si>
    <t xml:space="preserve">  ▪   Wie hoch ist die prozentuale Veränderung der Einwohnerzahl von heute zum Prognosejahr?</t>
  </si>
  <si>
    <r>
      <t xml:space="preserve">       Nutzungsanstieg erwartet. Sie können unten angeben, ob es sich beim Bahnhof / Haltpunkt um einen </t>
    </r>
    <r>
      <rPr>
        <u/>
        <sz val="11"/>
        <color theme="1"/>
        <rFont val="Calibri"/>
        <family val="2"/>
        <scheme val="minor"/>
      </rPr>
      <t>Schwerpunkt</t>
    </r>
    <r>
      <rPr>
        <sz val="11"/>
        <color theme="1"/>
        <rFont val="Calibri"/>
        <family val="2"/>
        <scheme val="minor"/>
      </rPr>
      <t xml:space="preserve"> in Hinblick auf Diebstahl und/oder Vandalismus handelt. In einem solchen Fall </t>
    </r>
  </si>
  <si>
    <t xml:space="preserve">  ▪   Durch Diebstahl und Vandalismus kann die Akzeptanz einer Anlage stark gemindert werden und nach der Modernisierung einer Abstellanlage mit Angebot von sicheren Stellplätzen wird ein</t>
  </si>
  <si>
    <t>Bezeichnung Bahnhofsseite</t>
  </si>
  <si>
    <t>Bitte Bahnhofsseite bezeichnen.</t>
  </si>
  <si>
    <t>Da diese optimalen Stellplätze ja wiedererrichtet werden sollen, werden sie in der folgenden Bedarfsermittlung nicht als zusätzlicher "Bedarf an optimalen Stellplätzen" behandelt.</t>
  </si>
  <si>
    <r>
      <t xml:space="preserve">  ▪   </t>
    </r>
    <r>
      <rPr>
        <b/>
        <sz val="11"/>
        <color theme="1"/>
        <rFont val="Calibri"/>
        <family val="2"/>
        <scheme val="minor"/>
      </rPr>
      <t>Manuelle Eingabe</t>
    </r>
    <r>
      <rPr>
        <sz val="11"/>
        <color theme="1"/>
        <rFont val="Calibri"/>
        <family val="2"/>
        <scheme val="minor"/>
      </rPr>
      <t xml:space="preserve"> eines Trendfaktors, wenn Sie für keine der drei o.g. Punkte entsprechende Prognosewerte haben.</t>
    </r>
  </si>
  <si>
    <r>
      <t xml:space="preserve">  ▪   </t>
    </r>
    <r>
      <rPr>
        <b/>
        <sz val="11"/>
        <color theme="1"/>
        <rFont val="Calibri"/>
        <family val="2"/>
        <scheme val="minor"/>
      </rPr>
      <t>Reisendenverkehrsprognose 2040 der DB AG</t>
    </r>
    <r>
      <rPr>
        <sz val="11"/>
        <color theme="1"/>
        <rFont val="Calibri"/>
        <family val="2"/>
        <scheme val="minor"/>
      </rPr>
      <t xml:space="preserve">   </t>
    </r>
    <r>
      <rPr>
        <i/>
        <u/>
        <sz val="11"/>
        <color theme="1"/>
        <rFont val="Calibri"/>
        <family val="2"/>
        <scheme val="minor"/>
      </rPr>
      <t>oder</t>
    </r>
  </si>
  <si>
    <r>
      <t xml:space="preserve">  ▪   </t>
    </r>
    <r>
      <rPr>
        <b/>
        <sz val="11"/>
        <color theme="1"/>
        <rFont val="Calibri"/>
        <family val="2"/>
        <scheme val="minor"/>
      </rPr>
      <t>Regionale Reisendenverkehrsprognose</t>
    </r>
    <r>
      <rPr>
        <sz val="11"/>
        <color theme="1"/>
        <rFont val="Calibri"/>
        <family val="2"/>
        <scheme val="minor"/>
      </rPr>
      <t xml:space="preserve">   (z.B. Verkehrsverbund, Bundesland, Landkreis, Gutachten…)   </t>
    </r>
    <r>
      <rPr>
        <i/>
        <u/>
        <sz val="11"/>
        <color theme="1"/>
        <rFont val="Calibri"/>
        <family val="2"/>
        <scheme val="minor"/>
      </rPr>
      <t>oder</t>
    </r>
  </si>
  <si>
    <t xml:space="preserve">  ▪   Wie hoch ist die prognostizierte Zahl der Ein- und Aussteiger im Prognosejahr?</t>
  </si>
  <si>
    <t xml:space="preserve"> </t>
  </si>
  <si>
    <t>Radabstellplätzen zu den jeweiligen Kategorien ist abhängig vom Abstell- und Bautyp sowie der Entfernung der Stellplätze zum Bahnhofs- bzw. Gleiszugang.</t>
  </si>
  <si>
    <r>
      <t xml:space="preserve">  ▪   </t>
    </r>
    <r>
      <rPr>
        <b/>
        <sz val="11"/>
        <color theme="1"/>
        <rFont val="Calibri"/>
        <family val="2"/>
        <scheme val="minor"/>
      </rPr>
      <t>Kommunale Bevölkerungsprognose</t>
    </r>
    <r>
      <rPr>
        <sz val="11"/>
        <color theme="1"/>
        <rFont val="Calibri"/>
        <family val="2"/>
        <scheme val="minor"/>
      </rPr>
      <t xml:space="preserve">   (inkl. der Möglichkeit, hiermit kombiniert eine Erhöhung beim Anteil des Umweltverbundes anzugeben)   </t>
    </r>
    <r>
      <rPr>
        <i/>
        <u/>
        <sz val="11"/>
        <color theme="1"/>
        <rFont val="Calibri"/>
        <family val="2"/>
        <scheme val="minor"/>
      </rPr>
      <t>oder</t>
    </r>
  </si>
  <si>
    <t xml:space="preserve">  ▪   In Teil C wird Ihnen das Berechnungsergebnis angezeigt und Sie können den ermittelten Baubedarf auf verschiedene Bau- und Abstelltypen für die Kostenanalyse verteilen.</t>
  </si>
  <si>
    <t xml:space="preserve">  ▪   Wenn Sie eine Kostenanalyse mit eigenen Bedarfsdaten durchführen möchten, springen Sie bitte direkt zu Teil D und wählen die entsprechende Option aus dem Drop-Down-Menü.</t>
  </si>
  <si>
    <t>Sie werden jedoch zur ermittelten Anzahl an zu bauenden Stellplätzen addiert, so dass Sie die Neuerrichtung dieser (rückgebauten) Stellplätze in der Kostenanalyse berücksichtigen können.</t>
  </si>
  <si>
    <t>Justierung des Baubedarfs für die Kostenanalyse</t>
  </si>
  <si>
    <t xml:space="preserve">Möchten Sie die Daten aus Teil C in die Kostenanalyse einsetzen oder Ihre eigenen Daten eingeben? </t>
  </si>
  <si>
    <t>Nachrüstung Überdachung ohne Abstelltypwechsel**</t>
  </si>
  <si>
    <t>** der Sonderfall Nachrüstung einer Umzäunung/Sicherung für eine</t>
  </si>
  <si>
    <r>
      <rPr>
        <i/>
        <sz val="11"/>
        <color theme="2" tint="-0.249977111117893"/>
        <rFont val="Calibri"/>
        <family val="2"/>
        <scheme val="minor"/>
      </rPr>
      <t>*</t>
    </r>
    <r>
      <rPr>
        <i/>
        <sz val="10"/>
        <color theme="2" tint="-0.249977111117893"/>
        <rFont val="Calibri"/>
        <family val="2"/>
        <scheme val="minor"/>
      </rPr>
      <t xml:space="preserve"> Voreinstellungen werden verwendet (siehe Grafik auf Startseite), wenn keine manuelle Eingabe.
    Wiederherstellung Voreinstellungen: alle grünen Felder leeren (mit ENTF-Taste).</t>
    </r>
  </si>
  <si>
    <t>Optionale Auswahlmöglichkeit zur weiteren Beeinflussung des Trendfaktors</t>
  </si>
  <si>
    <t>Reihenbügel</t>
  </si>
  <si>
    <r>
      <t xml:space="preserve">Bei Auswahl </t>
    </r>
    <r>
      <rPr>
        <b/>
        <i/>
        <sz val="10"/>
        <color theme="2"/>
        <rFont val="Calibri"/>
        <family val="2"/>
        <scheme val="minor"/>
      </rPr>
      <t>gleichbleibend / moderat / stark ansteigend</t>
    </r>
    <r>
      <rPr>
        <i/>
        <sz val="10"/>
        <color theme="2"/>
        <rFont val="Calibri"/>
        <family val="2"/>
        <scheme val="minor"/>
      </rPr>
      <t xml:space="preserve"> → Reisendenzahl </t>
    </r>
    <r>
      <rPr>
        <i/>
        <u/>
        <sz val="10"/>
        <color theme="2"/>
        <rFont val="Calibri"/>
        <family val="2"/>
        <scheme val="minor"/>
      </rPr>
      <t>im Prognosejahr</t>
    </r>
    <r>
      <rPr>
        <i/>
        <sz val="10"/>
        <color theme="2"/>
        <rFont val="Calibri"/>
        <family val="2"/>
        <scheme val="minor"/>
      </rPr>
      <t xml:space="preserve">: </t>
    </r>
    <r>
      <rPr>
        <b/>
        <i/>
        <sz val="10"/>
        <color theme="2"/>
        <rFont val="Calibri"/>
        <family val="2"/>
        <scheme val="minor"/>
      </rPr>
      <t>±0 % / +10 % / +25 %</t>
    </r>
  </si>
  <si>
    <t xml:space="preserve">  ▪   Hierarchie der Verteilungslogik mit internen Voreinstellungen (siehe dazu auch Grafik auf der Startseite):</t>
  </si>
  <si>
    <t xml:space="preserve">  ▪   Sie können unter "Manuelle Eingabe Anteil (in Prozent)" die zu bauenden Stellplätze als Prozentwert vom Gesamtbaubedarf auf die Sammelschließanlage und/oder das Fahrradparkhaus verteilen.</t>
  </si>
  <si>
    <r>
      <rPr>
        <b/>
        <i/>
        <sz val="11"/>
        <color theme="7"/>
        <rFont val="Calibri"/>
        <family val="2"/>
        <scheme val="minor"/>
      </rPr>
      <t>grün</t>
    </r>
    <r>
      <rPr>
        <i/>
        <sz val="11"/>
        <color theme="2" tint="-0.249977111117893"/>
        <rFont val="Calibri"/>
        <family val="2"/>
        <scheme val="minor"/>
      </rPr>
      <t xml:space="preserve"> = alle Stellplätze korrekt verteilt / </t>
    </r>
    <r>
      <rPr>
        <b/>
        <i/>
        <sz val="11"/>
        <color theme="6" tint="-0.249977111117893"/>
        <rFont val="Calibri"/>
        <family val="2"/>
        <scheme val="minor"/>
      </rPr>
      <t>gelb</t>
    </r>
    <r>
      <rPr>
        <i/>
        <sz val="11"/>
        <color theme="2" tint="-0.249977111117893"/>
        <rFont val="Calibri"/>
        <family val="2"/>
        <scheme val="minor"/>
      </rPr>
      <t xml:space="preserve"> = noch nicht genug Stellpl. verteilt / </t>
    </r>
    <r>
      <rPr>
        <b/>
        <i/>
        <sz val="11"/>
        <color theme="9"/>
        <rFont val="Calibri"/>
        <family val="2"/>
        <scheme val="minor"/>
      </rPr>
      <t>rot</t>
    </r>
    <r>
      <rPr>
        <i/>
        <sz val="11"/>
        <color theme="2" tint="-0.249977111117893"/>
        <rFont val="Calibri"/>
        <family val="2"/>
        <scheme val="minor"/>
      </rPr>
      <t xml:space="preserve"> = zu viele Stellpl. verteilt</t>
    </r>
  </si>
  <si>
    <t>Im folgenden Teil können Sie nun den ermittelten Baubedarf zu Bau- und Abstelltypen zuordnen. Die zugeordneten Werte werden in die Kostenanalyse übernommen.</t>
  </si>
  <si>
    <t xml:space="preserve">  ▪   Es können auch Umrüstungen (bei bestehender Überdachung) und Nachrüstungen von Überdachungen (ohne Abstelltypwechsel) gewählt werden.</t>
  </si>
  <si>
    <r>
      <t xml:space="preserve">       a)   Bei Überschreitung eines Schwellenwerts von 400 Stellplätzen Baubedarf: Zuordnung zu </t>
    </r>
    <r>
      <rPr>
        <b/>
        <sz val="11"/>
        <color theme="1"/>
        <rFont val="Calibri"/>
        <family val="2"/>
        <scheme val="minor"/>
      </rPr>
      <t>Fahrradparkhaus</t>
    </r>
    <r>
      <rPr>
        <sz val="11"/>
        <color theme="1"/>
        <rFont val="Calibri"/>
        <family val="2"/>
        <scheme val="minor"/>
      </rPr>
      <t>.</t>
    </r>
  </si>
  <si>
    <t xml:space="preserve">  ▪   Der ermittelte Baubedarf wurde bereits anhand interner Voreinstellungen zugeordnet. Sie können die Verteilung auf die einzelnen Bautypen bei Bedarf anpassen (optional).</t>
  </si>
  <si>
    <t xml:space="preserve">  ▪   Bitte beachten Sie: bei Änderungen Ihrer gemachten Eingaben/Auswahlen, die zu einem anderen Baubedarf führen, müssen Sie Zuordnungen in diesem Abschnitt ggf. anpassen.</t>
  </si>
  <si>
    <r>
      <t xml:space="preserve">       d)   Alle an diesem Punkt noch nicht verteilten Stellplätze entfallen auf den Bautyp </t>
    </r>
    <r>
      <rPr>
        <b/>
        <sz val="11"/>
        <color theme="1"/>
        <rFont val="Calibri"/>
        <family val="2"/>
        <scheme val="minor"/>
      </rPr>
      <t>Überdachte Abstellanlage</t>
    </r>
    <r>
      <rPr>
        <sz val="11"/>
        <color theme="1"/>
        <rFont val="Calibri"/>
        <family val="2"/>
        <scheme val="minor"/>
      </rPr>
      <t>.</t>
    </r>
  </si>
  <si>
    <t xml:space="preserve">  ▪   Ein eventueller Mindestbedarf darf dabei nicht unterschritten werden. Nach Ihrer Verteilung wird die noch verbleibende Differenz an Stellplätzen der überdachten Abstellanlage zugeordnet.</t>
  </si>
  <si>
    <r>
      <t xml:space="preserve">       b)   Bei Überschreitung eines Schwellenwerts von 48 Stellplätzen Baubedarf: die Hälfte des Baubedarfs entfällt auf den Bautyp </t>
    </r>
    <r>
      <rPr>
        <b/>
        <sz val="11"/>
        <color theme="1"/>
        <rFont val="Calibri"/>
        <family val="2"/>
        <scheme val="minor"/>
      </rPr>
      <t>Sammelschließanlage</t>
    </r>
    <r>
      <rPr>
        <sz val="11"/>
        <color theme="1"/>
        <rFont val="Calibri"/>
        <family val="2"/>
        <scheme val="minor"/>
      </rPr>
      <t>, außer…</t>
    </r>
  </si>
  <si>
    <r>
      <t xml:space="preserve">  ▪   Erst wenn unten diese Zeile </t>
    </r>
    <r>
      <rPr>
        <u/>
        <sz val="11"/>
        <color theme="1"/>
        <rFont val="Calibri"/>
        <family val="2"/>
        <scheme val="minor"/>
      </rPr>
      <t>durchgehend grün</t>
    </r>
    <r>
      <rPr>
        <sz val="11"/>
        <color theme="1"/>
        <rFont val="Calibri"/>
        <family val="2"/>
        <scheme val="minor"/>
      </rPr>
      <t xml:space="preserve"> dargestellt wird, können Sie mit der Kostenanalyse in Teil D fortfahren.</t>
    </r>
  </si>
  <si>
    <r>
      <rPr>
        <i/>
        <sz val="11"/>
        <rFont val="Calibri"/>
        <family val="2"/>
        <scheme val="minor"/>
      </rPr>
      <t>(Beispiel)</t>
    </r>
    <r>
      <rPr>
        <i/>
        <sz val="11"/>
        <color theme="0"/>
        <rFont val="Calibri"/>
        <family val="2"/>
        <scheme val="minor"/>
      </rPr>
      <t xml:space="preserve">   Anzahl der unten verteilten Stellplätze:</t>
    </r>
  </si>
  <si>
    <r>
      <rPr>
        <b/>
        <u/>
        <sz val="12"/>
        <color theme="1"/>
        <rFont val="Calibri"/>
        <family val="2"/>
        <scheme val="minor"/>
      </rPr>
      <t>1.</t>
    </r>
    <r>
      <rPr>
        <u/>
        <sz val="11"/>
        <color theme="1"/>
        <rFont val="Calibri"/>
        <family val="2"/>
        <scheme val="minor"/>
      </rPr>
      <t xml:space="preserve">   Zuordnung des Bedarfs zu Bautypen</t>
    </r>
  </si>
  <si>
    <r>
      <rPr>
        <b/>
        <u/>
        <sz val="12"/>
        <color theme="1"/>
        <rFont val="Calibri"/>
        <family val="2"/>
        <scheme val="minor"/>
      </rPr>
      <t>2.</t>
    </r>
    <r>
      <rPr>
        <u/>
        <sz val="11"/>
        <color theme="1"/>
        <rFont val="Calibri"/>
        <family val="2"/>
        <scheme val="minor"/>
      </rPr>
      <t xml:space="preserve">   Zuordnung der Bautypen zu Abstelltypen für Kostenberechnung</t>
    </r>
  </si>
  <si>
    <t xml:space="preserve">  ▪   Ergänzend zur Bedarfs- und Kostenermittlung können Sie auch eine Wirkungsabschätzung für Ihr Vorhaben durchführen (z.B. Einsparungen von CO2-und Luftsschadstoffemissionen).</t>
  </si>
  <si>
    <t>Bitte beachten Sie, dass diese Kostenanalyse nur als grobe Vorkalkulation dient und keine spezifische Kostenermittlung (Kostenschätzung/-berechnung) ersetzt.</t>
  </si>
  <si>
    <t>Baukosten</t>
  </si>
  <si>
    <t>VA_KOSTENANALYSE</t>
  </si>
  <si>
    <t>Daten aus Teil C übernehmen</t>
  </si>
  <si>
    <t>Eigene Bestandsdaten eingeben</t>
  </si>
  <si>
    <t>R_KOSTENANALYSE</t>
  </si>
  <si>
    <t xml:space="preserve">Auf dieser Seite können Sie eine Kostenanalyse für B+R-Anlagen durchführen. Dazu können Sie entweder die Bedarfswerte aus Teil C übernehmen oder Ihre eigenen Bedarfsdaten verwenden. </t>
  </si>
  <si>
    <t>A</t>
  </si>
  <si>
    <t>Anlehnbügel inklusive Gründung/Montage</t>
  </si>
  <si>
    <t>Stk.</t>
  </si>
  <si>
    <t>Hoch-Tief-Einsteller (Reihenanlage) inklusive Gründung/Befestigung/Montage</t>
  </si>
  <si>
    <t>Doppelstockparker inklusive Gründung/Befestigung/Montage je Stellplatz</t>
  </si>
  <si>
    <t>Abstelltypen</t>
  </si>
  <si>
    <t>Summe Abstelltypen</t>
  </si>
  <si>
    <t>Menge</t>
  </si>
  <si>
    <t>Einheit</t>
  </si>
  <si>
    <t>Einheitswert</t>
  </si>
  <si>
    <t>B</t>
  </si>
  <si>
    <t xml:space="preserve">Standardüberdachung </t>
  </si>
  <si>
    <t>m²</t>
  </si>
  <si>
    <t>Seitenwände (Zaun, Lochblech)</t>
  </si>
  <si>
    <t>Tür / Schiebetür</t>
  </si>
  <si>
    <t>C</t>
  </si>
  <si>
    <t>Gebäude (Fahrradparkhäuser / Radstationen)</t>
  </si>
  <si>
    <t>m² BGF</t>
  </si>
  <si>
    <t>D</t>
  </si>
  <si>
    <t>Ausstattung</t>
  </si>
  <si>
    <t>Zugangssystem in kleinen Anlagen (Schloss, Chipkartenleser, PIN-Code)</t>
  </si>
  <si>
    <t>Zugangssystem in großen Anlagen (Automat, Drehkreuzanlage)</t>
  </si>
  <si>
    <t>Beleuchtung, elektrische Versorgung, Blitzschutz/Erdung</t>
  </si>
  <si>
    <t>Videoüberwachungsanlage</t>
  </si>
  <si>
    <t>Innenausbau Ladenlokal/Werkstatt mit Verkaufs-/Personalräumen/WC</t>
  </si>
  <si>
    <t>E</t>
  </si>
  <si>
    <t>Baukostenreserve (% von Baukosten)</t>
  </si>
  <si>
    <t>Baustelleneinrichtung (% von Baukosten)</t>
  </si>
  <si>
    <t>pauschal:</t>
  </si>
  <si>
    <t>F</t>
  </si>
  <si>
    <t>Bau- und Planungskosten gesamt</t>
  </si>
  <si>
    <t>Mehrwertsteuer</t>
  </si>
  <si>
    <t>Grunderwerb (oder einmaliger Aufwand Grundstücksnutzung)</t>
  </si>
  <si>
    <t>Herstellungskosten gesamt</t>
  </si>
  <si>
    <t>Kosten je Stellplatz</t>
  </si>
  <si>
    <t>Investitionsfinanzierung</t>
  </si>
  <si>
    <t>H</t>
  </si>
  <si>
    <t>Fördermittel</t>
  </si>
  <si>
    <t>1a</t>
  </si>
  <si>
    <t>Fördersatz in %:</t>
  </si>
  <si>
    <t>1b</t>
  </si>
  <si>
    <t>2a</t>
  </si>
  <si>
    <t>2b</t>
  </si>
  <si>
    <t>Zwischensumme Fördermittel</t>
  </si>
  <si>
    <t>Eigenmittel / Drittmittel</t>
  </si>
  <si>
    <t>Verbleibender Investitionsbetrag (Fördermittel abzüglich Herstellungskosten)</t>
  </si>
  <si>
    <t>Investitionsbeiträge Dritter (eigenmittelähnlich)</t>
  </si>
  <si>
    <t>Verbleibender kommunaler Eigenanteil</t>
  </si>
  <si>
    <t>Jährliche Kosten</t>
  </si>
  <si>
    <t>J</t>
  </si>
  <si>
    <t>Unterhalt baulicher Anlagen</t>
  </si>
  <si>
    <t>Anlagenabschreibung (von eingesetzten Eigenmitteln)</t>
  </si>
  <si>
    <t>Zwischensumme Unterhalt baulicher Anlagen</t>
  </si>
  <si>
    <t>K</t>
  </si>
  <si>
    <t>Verbrauchskosten</t>
  </si>
  <si>
    <t>€/m² pro Monat:</t>
  </si>
  <si>
    <t>Versicherungen p.a.</t>
  </si>
  <si>
    <t>M</t>
  </si>
  <si>
    <t>Betreiberkosten</t>
  </si>
  <si>
    <t>Grundstücksnutzung (Miet-/Gestattungsverträge o.ä.) p.a.</t>
  </si>
  <si>
    <t>Servicepersonal; AG-Brutto p.a.</t>
  </si>
  <si>
    <t>Personal/Systemaufwand Entgelt- und Mietabrechnung/Objektbetreuung p.a.</t>
  </si>
  <si>
    <t>Sachkosten Zugangs- und Abrechnungssystem (Dienstleistungsverträge)</t>
  </si>
  <si>
    <t>Zwischensumme Verbrauchs- und Betreiberkosten</t>
  </si>
  <si>
    <t>Einnahmen</t>
  </si>
  <si>
    <t>N</t>
  </si>
  <si>
    <t>Anzahl Verträge mit Jahresentgelt</t>
  </si>
  <si>
    <t>Anzahl Verträge mit Monatsentgelt (pro Monat)</t>
  </si>
  <si>
    <t>Anzahl Verträge mit Tagesentgelt (im Jahr, bei 220 Werktagen)</t>
  </si>
  <si>
    <t>O</t>
  </si>
  <si>
    <t>Sonstige Einnahmen</t>
  </si>
  <si>
    <t>Vermietung von Teilflächen (im Jahr; Basis NK-Miete pro Monat)</t>
  </si>
  <si>
    <t>Betriebskostenzuschüsse Dritter</t>
  </si>
  <si>
    <t>€/Jahr</t>
  </si>
  <si>
    <t>Werbeeinnahmen (Banner, Werbeflächen)</t>
  </si>
  <si>
    <t>P</t>
  </si>
  <si>
    <t>Bonusanteil je Neukunde (analog Vertriebsprovision)</t>
  </si>
  <si>
    <t>Zusatzeinnahmen (Standardpreis aus P1 x Bonusanteil aus P2 x Stellplätze aus P3)</t>
  </si>
  <si>
    <t>Kosten</t>
  </si>
  <si>
    <r>
      <t xml:space="preserve">  ▪  </t>
    </r>
    <r>
      <rPr>
        <sz val="11"/>
        <color theme="4"/>
        <rFont val="Calibri"/>
        <family val="2"/>
        <scheme val="minor"/>
      </rPr>
      <t xml:space="preserve"> </t>
    </r>
    <r>
      <rPr>
        <b/>
        <sz val="11"/>
        <color theme="3" tint="0.39997558519241921"/>
        <rFont val="Calibri"/>
        <family val="2"/>
        <scheme val="minor"/>
      </rPr>
      <t>Blaugrau hinterlegte Felder</t>
    </r>
    <r>
      <rPr>
        <sz val="11"/>
        <color theme="1"/>
        <rFont val="Calibri"/>
        <family val="2"/>
        <scheme val="minor"/>
      </rPr>
      <t xml:space="preserve"> zeigen Summen an (nur Kostenanalyse).</t>
    </r>
  </si>
  <si>
    <r>
      <t xml:space="preserve">  ▪  </t>
    </r>
    <r>
      <rPr>
        <sz val="11"/>
        <color theme="4"/>
        <rFont val="Calibri"/>
        <family val="2"/>
        <scheme val="minor"/>
      </rPr>
      <t xml:space="preserve"> </t>
    </r>
    <r>
      <rPr>
        <b/>
        <sz val="11"/>
        <color theme="4"/>
        <rFont val="Calibri"/>
        <family val="2"/>
        <scheme val="minor"/>
      </rPr>
      <t>Lila hinterlegte Felder</t>
    </r>
    <r>
      <rPr>
        <sz val="11"/>
        <color theme="1"/>
        <rFont val="Calibri"/>
        <family val="2"/>
        <scheme val="minor"/>
      </rPr>
      <t xml:space="preserve"> sind änderbare Einheitspreise/Werte (nur Kostenanalyse).</t>
    </r>
  </si>
  <si>
    <t>Zwischensumme A bis D</t>
  </si>
  <si>
    <t>ja</t>
  </si>
  <si>
    <t>← ja/nein         % →</t>
  </si>
  <si>
    <t>Zwischensumme E0 bis E3</t>
  </si>
  <si>
    <t>0 bis 3</t>
  </si>
  <si>
    <t>Zwischensummen Baukosten</t>
  </si>
  <si>
    <t>Planungspauschale (% von Zwischensumme E0 bis E3)</t>
  </si>
  <si>
    <t>Gesamtsumme der Bau- und Planungskosten (netto)</t>
  </si>
  <si>
    <t>% →</t>
  </si>
  <si>
    <t>1 bis 2</t>
  </si>
  <si>
    <t>Nutz.-dauer Jahre:</t>
  </si>
  <si>
    <t>← Anzahl VZP</t>
  </si>
  <si>
    <t>€/Jahr:</t>
  </si>
  <si>
    <t>Wirkungsrechner</t>
  </si>
  <si>
    <t>Allgemeines zum Bedarfs- und Kostenrechner und zur Handhabung dieser Excel-Datei</t>
  </si>
  <si>
    <t xml:space="preserve">       Sie in Teil D am Ende der Seite ablesen. Um zum Wirkungsrechner zu kommen, klicken Sie bitte hier (es öffnet sich die Website mit dem Online-Tool):</t>
  </si>
  <si>
    <r>
      <t xml:space="preserve">Investitionsfinanzierung gesamt   </t>
    </r>
    <r>
      <rPr>
        <i/>
        <sz val="11"/>
        <rFont val="Calibri"/>
        <family val="2"/>
        <scheme val="minor"/>
      </rPr>
      <t>(entspricht Herstellungskosten gesamt)</t>
    </r>
  </si>
  <si>
    <t>Jährliche Kosten insgesamt</t>
  </si>
  <si>
    <t>← Stk.      Entgelt →</t>
  </si>
  <si>
    <t>Einnahmen insgesamt</t>
  </si>
  <si>
    <t>Eingangsdaten für den Wirkungsrechner</t>
  </si>
  <si>
    <t xml:space="preserve">Baubedarf gesamt: </t>
  </si>
  <si>
    <t>Gesamtsalden (jährliche Bau- und Betriebskosten)</t>
  </si>
  <si>
    <t>VA_FEHLER_D</t>
  </si>
  <si>
    <t>D1</t>
  </si>
  <si>
    <t>Fehler C bzw D</t>
  </si>
  <si>
    <t>eigene Daten →</t>
  </si>
  <si>
    <r>
      <t xml:space="preserve">zuwendungsfähige Kosten  </t>
    </r>
    <r>
      <rPr>
        <b/>
        <sz val="11"/>
        <rFont val="Calibri"/>
        <family val="2"/>
        <scheme val="minor"/>
      </rPr>
      <t>↓</t>
    </r>
  </si>
  <si>
    <r>
      <t xml:space="preserve">leer = kein Förderprogramm  </t>
    </r>
    <r>
      <rPr>
        <b/>
        <sz val="11"/>
        <rFont val="Calibri"/>
        <family val="2"/>
        <scheme val="minor"/>
      </rPr>
      <t>↓</t>
    </r>
  </si>
  <si>
    <t>abweichende zuwendungsfähige Kosten hier eintragen (wird dann Berechnungsgrundlage)  →</t>
  </si>
  <si>
    <t>D2</t>
  </si>
  <si>
    <t>D3</t>
  </si>
  <si>
    <t>L</t>
  </si>
  <si>
    <t>Zins in %:</t>
  </si>
  <si>
    <t>Eingabe prüfen  →</t>
  </si>
  <si>
    <t>mtl. Miete je m²:</t>
  </si>
  <si>
    <t>Summe N1 bis N3 darf nicht höher als N0 sein ↓</t>
  </si>
  <si>
    <t xml:space="preserve">  ▪   Erforderliche Neukunden zur Deckung der Anlagenkosten</t>
  </si>
  <si>
    <t>ggf. hier Verkehrsverbund eintragen</t>
  </si>
  <si>
    <t>Standardpreis ÖV-Jahreskarte (übliche Verkehrsregion)</t>
  </si>
  <si>
    <t>TBS_FH_D</t>
  </si>
  <si>
    <t>Bitte prüfen Sie Ihre Eingaben unten.</t>
  </si>
  <si>
    <t>Fragen zum Fahrradparken am Bahnhof und Unterstützung beim Ausfüllen dieser Datei – wir sind für Sie da!</t>
  </si>
  <si>
    <t xml:space="preserve">  ▪   Bitte prüfen Sie gelegentlich, ob eine neuere Version dieser Datei veröffentlicht wurde. Klicken Sie dazu hier (es öffnet sich die Download-Webseite):</t>
  </si>
  <si>
    <t xml:space="preserve">  ▪   Wir unterstützen Sie auch gerne beim Ausfüllen dieses Bedarfs- und Kostenrechners und beantworten Fragen zu den einzelnen Funktionen.</t>
  </si>
  <si>
    <t xml:space="preserve">  ▪   Schreiben Sie uns eine Mail und wir melden uns bei Ihnen oder rufen Sie uns einfach an. Die Kontaktdaten finden Sie auf unserer Webseite (hier klicken):</t>
  </si>
  <si>
    <t xml:space="preserve">  ▪   Für die Wirkungsabschätzung können Werte zum Stellplatzbedarf und zu den Kosten aus diesem Rechner verwendet werden. Die betreffenden Werte können</t>
  </si>
  <si>
    <t>Zuordnung Stellplätze zu Variablen / Auslastungsberechnungen / Stellplatzverteilung</t>
  </si>
  <si>
    <t>Zuordnung zu Abstelltypen</t>
  </si>
  <si>
    <t>Zuordnung zu Abstelltypen für Kostenanalyse</t>
  </si>
  <si>
    <t>Kostenanalyse</t>
  </si>
  <si>
    <t>nicht höher als J1  →</t>
  </si>
  <si>
    <t>=  Anzahl Stellpl.:</t>
  </si>
  <si>
    <t>← Sie können die Einheitspreise/Werte mit eigenen Werten überschreiben</t>
  </si>
  <si>
    <t>← diese Felder können nicht beschrieben werden</t>
  </si>
  <si>
    <t>Zeitpunkt der Bestandsaufnahme</t>
  </si>
  <si>
    <t xml:space="preserve">  ▪   Zählung nach dem morgendlichen Schüler- und Pendlerverkehr, aber noch vor dem erneut einsetzenden Schülerverkehr am frühen Nachmittag.</t>
  </si>
  <si>
    <t xml:space="preserve">  ▪   Zählung in den Frühlings- und Sommermonaten,</t>
  </si>
  <si>
    <t xml:space="preserve">  ▪   Zählung an einem Werktag: vorrangig Montag bis Donnerstag an Schultagen,</t>
  </si>
  <si>
    <t xml:space="preserve">  ▪   Der jeweils höchste ermittelte Auslastungswert ist für die Bedarfsberechnung anzusetzen.</t>
  </si>
  <si>
    <t xml:space="preserve">  ▪   Mindestens einmal sollte auch die Nachtabstellung von Fahrrädern (besonders in gesicherten Anlagen) geprüft und ggf. in der Bedarfsberechnung berücksichtigt werden.</t>
  </si>
  <si>
    <t>Lage der Stellplatzanlagen</t>
  </si>
  <si>
    <t xml:space="preserve">  ▪   Für die Ermittlung eines Baubedarfs mit diesem Bedarfs- und Kostenrechner ist es zuerst erforderlich, dass Sie ihren Bestand an Radabstellanlagen zählen. Darüber hinaus benötigen Sie auch</t>
  </si>
  <si>
    <t xml:space="preserve">       Bahnhofs- bzw. Bahnsteigzugang durchzuführen:  •  bis 20 m  •  20 bis 50 m  •  50 bis 100 m  •  über 100 m.</t>
  </si>
  <si>
    <t xml:space="preserve">  ▪   Auf der Startseite finden Sie Grafiken zu den Bau- und Abstelltypen mit den entfernungsabhängigen Bewertungskategorien sowie zu den Entfernungen am Bahnhof und den Bahnhofsseiten.</t>
  </si>
  <si>
    <t>vermietet / genutzt</t>
  </si>
  <si>
    <t>Bautyp →</t>
  </si>
  <si>
    <t>Abstelltyp ↓</t>
  </si>
  <si>
    <t>Anzahl Stellpl.</t>
  </si>
  <si>
    <r>
      <t xml:space="preserve">Abstand der Stellplätze vom nächst gelegenen Zugang: </t>
    </r>
    <r>
      <rPr>
        <b/>
        <sz val="16"/>
        <color theme="1"/>
        <rFont val="Calibri"/>
        <family val="2"/>
        <scheme val="minor"/>
      </rPr>
      <t>über 100 m</t>
    </r>
  </si>
  <si>
    <r>
      <t xml:space="preserve">Abstand der Stellplätze vom nächst gelegenen Zugang: </t>
    </r>
    <r>
      <rPr>
        <b/>
        <sz val="16"/>
        <color theme="1"/>
        <rFont val="Calibri"/>
        <family val="2"/>
        <scheme val="minor"/>
      </rPr>
      <t>50 bis 100 m</t>
    </r>
  </si>
  <si>
    <r>
      <t xml:space="preserve">Abstand der Stellplätze vom nächst gelegenen Zugang: </t>
    </r>
    <r>
      <rPr>
        <b/>
        <sz val="16"/>
        <color theme="1"/>
        <rFont val="Calibri"/>
        <family val="2"/>
        <scheme val="minor"/>
      </rPr>
      <t>bis 20 m</t>
    </r>
  </si>
  <si>
    <t>Anz. Radboxen</t>
  </si>
  <si>
    <t xml:space="preserve">  ▪   Den Bestand an Radabstellanlagen müssen Sie nur einmal zählen, außer es sind Anlagen hinzugekommen oder abgebaut worden.</t>
  </si>
  <si>
    <t xml:space="preserve">  ▪   Für eine aussagekräftige Bedarfsermittlung sollten Sie den Bestand an abgestellten Rädern an mehreren Tagen und bei möglichst gleichen Rahmenbedingungen zählen, um</t>
  </si>
  <si>
    <t xml:space="preserve">       konsistente und valide Daten zur Auslastung zu erhalten:</t>
  </si>
  <si>
    <r>
      <t xml:space="preserve">Abstand der Stellplätze vom nächst gelegenen Zugang: </t>
    </r>
    <r>
      <rPr>
        <b/>
        <sz val="16"/>
        <rFont val="Calibri"/>
        <family val="2"/>
        <scheme val="minor"/>
      </rPr>
      <t>20 bis 50 m</t>
    </r>
  </si>
  <si>
    <t xml:space="preserve">  ▪   Zählung bei trockenem Wetter sowie</t>
  </si>
  <si>
    <t>Verbleibendes Saldo aus Einnahmen und jährlichen Kosten (mit Abschreibungen)</t>
  </si>
  <si>
    <t>Verbleibendes Saldo aus Einnahmen und jährlichen Kosten (ohne Abschreibungen)</t>
  </si>
  <si>
    <t>Saldo je Stellplatz p.a. (ohne Abschreibungen)</t>
  </si>
  <si>
    <t xml:space="preserve">  ▪   Auf dem Reiter "Zählung Bestand" (in der Navigation oben mit "123" bezeichnet) finden Sie Informationen zur Bestandsaufnahme und können sich einen Bestandsaufnahmebogen ausdrucken.</t>
  </si>
  <si>
    <t xml:space="preserve">       Ereignisse am Tag bzw. um den Tag der Zählung stattfinden (z.B. Stadtfeste, größere Bauarbeiten mit Verkehrsbehinderung, Schienenersatzverkehr o.ä.).</t>
  </si>
  <si>
    <t>↑ alle</t>
  </si>
  <si>
    <t>↑ nur opt.</t>
  </si>
  <si>
    <t xml:space="preserve">  ▪   Sie können die Infostelle Fahrradparken jederzeit bei Fragen zu allen Themen rund um das Fahrradparken an Ihrem Bahnhof kontaktieren.</t>
  </si>
  <si>
    <r>
      <t>v2.1</t>
    </r>
    <r>
      <rPr>
        <sz val="10"/>
        <color theme="2"/>
        <rFont val="Calibri"/>
        <family val="2"/>
        <scheme val="minor"/>
      </rPr>
      <t xml:space="preserve"> (07.06.22)</t>
    </r>
  </si>
  <si>
    <t>•</t>
  </si>
  <si>
    <t>Kostenanalyse: bei Punkt E3 "Rückbau von alten Abstellanlagen" ergänzt</t>
  </si>
  <si>
    <t>Vorarbeiten (z.B. Leitungsverlegungen, Rückbau von alten Abstellanlagen etc.)</t>
  </si>
  <si>
    <t>Den Bestand am Bahnhof richtig erfassen – Radabstellanlagen und abgestellte Räder</t>
  </si>
  <si>
    <t xml:space="preserve">  ▪   Unten auf dieser Seite finden Sie einen Bestandsaufnahmebogen, den Sie sich ausdrucken können.</t>
  </si>
  <si>
    <t>Zählung Bestand: Hinweise zu Schrotträdern ergänzt (inkl. Bestandsaufnahmebogen)</t>
  </si>
  <si>
    <t>Changelog ab v2.0</t>
  </si>
  <si>
    <t>Tabellenreiter "Projektbeschreibung" ergänzt</t>
  </si>
  <si>
    <t>Konzeption und Umsetzung</t>
  </si>
  <si>
    <t>Bötzowstr. 38, 10407 Berlin</t>
  </si>
  <si>
    <r>
      <t xml:space="preserve">Hier können Sie zwischen den Teilen </t>
    </r>
    <r>
      <rPr>
        <b/>
        <sz val="11"/>
        <color theme="6" tint="-0.249977111117893"/>
        <rFont val="Calibri"/>
        <family val="2"/>
        <scheme val="minor"/>
      </rPr>
      <t>A bis F</t>
    </r>
    <r>
      <rPr>
        <sz val="11"/>
        <color theme="6" tint="-0.249977111117893"/>
        <rFont val="Calibri"/>
        <family val="2"/>
        <scheme val="minor"/>
      </rPr>
      <t xml:space="preserve"> navigieren.</t>
    </r>
  </si>
  <si>
    <r>
      <t xml:space="preserve">Hier finden Sie eine Anleitung zur </t>
    </r>
    <r>
      <rPr>
        <b/>
        <sz val="11"/>
        <color theme="2" tint="-0.249977111117893"/>
        <rFont val="Calibri"/>
        <family val="2"/>
        <scheme val="minor"/>
      </rPr>
      <t>Bestandszählung</t>
    </r>
    <r>
      <rPr>
        <sz val="11"/>
        <color theme="2" tint="-0.249977111117893"/>
        <rFont val="Calibri"/>
        <family val="2"/>
        <scheme val="minor"/>
      </rPr>
      <t>.</t>
    </r>
  </si>
  <si>
    <r>
      <t xml:space="preserve">Mit Klick hier kommen Sie wieder auf diese </t>
    </r>
    <r>
      <rPr>
        <b/>
        <sz val="11"/>
        <color theme="2" tint="-0.249977111117893"/>
        <rFont val="Calibri"/>
        <family val="2"/>
        <scheme val="minor"/>
      </rPr>
      <t>Startseite</t>
    </r>
    <r>
      <rPr>
        <sz val="11"/>
        <color theme="2" tint="-0.249977111117893"/>
        <rFont val="Calibri"/>
        <family val="2"/>
        <scheme val="minor"/>
      </rPr>
      <t>.</t>
    </r>
  </si>
  <si>
    <t>Grundstücksnutzung</t>
  </si>
  <si>
    <t>Kommune</t>
  </si>
  <si>
    <t>DB</t>
  </si>
  <si>
    <t>Sonstige</t>
  </si>
  <si>
    <t>Bau / Investition</t>
  </si>
  <si>
    <t>Betrieb</t>
  </si>
  <si>
    <t>Finanzierung Betrieb</t>
  </si>
  <si>
    <t>Entwicklungsprozess</t>
  </si>
  <si>
    <t>G</t>
  </si>
  <si>
    <t>Projektdetails</t>
  </si>
  <si>
    <t>Eigentumswechsel durch Grunderwerb erforderlich?</t>
  </si>
  <si>
    <t>Grundstücksnutzung durch Gestattungs-/Pachtvertrag?</t>
  </si>
  <si>
    <t>Entfernung zum Bahnhofs-/Bahnsteigzugang</t>
  </si>
  <si>
    <t>Anbindung der Anlage an Radwege im Umfeld</t>
  </si>
  <si>
    <t>Bauherr</t>
  </si>
  <si>
    <t>Baugenehmigung erforderlich?</t>
  </si>
  <si>
    <t>Investitionskosten gesamt (geschätzt für Bau und Planung)</t>
  </si>
  <si>
    <t>Antragsteller Förderantrag 1</t>
  </si>
  <si>
    <t>Antragsteller Förderantrag 2</t>
  </si>
  <si>
    <t>Bau- und Finanzierungsvertrag mit Dritten erforderlich?</t>
  </si>
  <si>
    <t>Unterhaltung bauliche Anlagen</t>
  </si>
  <si>
    <t>Nutzung / Betrieb / Verbrauchskosten</t>
  </si>
  <si>
    <t>Serviceleistungen (Aufsicht, Werkstatt, Verleih)</t>
  </si>
  <si>
    <t>Wartung / Abrechnungssysteme</t>
  </si>
  <si>
    <t>Kosten Betrieb / Unterhalt gesamt</t>
  </si>
  <si>
    <t>Bedarfsermittlung erfolgt?</t>
  </si>
  <si>
    <t>Gesprächsformat mit Projektbeteiligten initiiert?</t>
  </si>
  <si>
    <t>Kontakt zur Infostelle Radparken aufgenommen?</t>
  </si>
  <si>
    <t>Grundsatzbeschluss der Kommunalpolitik erforderlich?</t>
  </si>
  <si>
    <t>Vorabstimmung mit Fördergeber erfolgt?</t>
  </si>
  <si>
    <t>Terminplan erstellt</t>
  </si>
  <si>
    <t>Neubau einer Anlage?</t>
  </si>
  <si>
    <t>Anzahl Stellplätze nach Art der Abstelltypen</t>
  </si>
  <si>
    <t>Stellplätze für Verleihräder (Teilmenge von G3)</t>
  </si>
  <si>
    <t>Servicefunktionen</t>
  </si>
  <si>
    <t>Nutzungsentgelte für gesichertes Abstellen</t>
  </si>
  <si>
    <t>Sicherheitsausstattung</t>
  </si>
  <si>
    <t>Baukonstruktion</t>
  </si>
  <si>
    <t>Dachausbildung</t>
  </si>
  <si>
    <t>Fassadenausbildung</t>
  </si>
  <si>
    <t>Klimaschutz</t>
  </si>
  <si>
    <t>Planungsvorbereitung: Planungswettbewerb vorgesehen?</t>
  </si>
  <si>
    <t>Planungsvorbereitung: Planungsbüro schon gebunden?</t>
  </si>
  <si>
    <t>Ist das Fahrradparken Teil einer</t>
  </si>
  <si>
    <t>offen:</t>
  </si>
  <si>
    <t>gesichert:</t>
  </si>
  <si>
    <t>Werkstatt</t>
  </si>
  <si>
    <t>Handel</t>
  </si>
  <si>
    <t>Schlüssel</t>
  </si>
  <si>
    <t>PIN-Code</t>
  </si>
  <si>
    <t>Personal</t>
  </si>
  <si>
    <t>eingeschossig</t>
  </si>
  <si>
    <t>konventionell</t>
  </si>
  <si>
    <t>Metallgitter / Stabmatte</t>
  </si>
  <si>
    <t>Holzlamellen</t>
  </si>
  <si>
    <t>Geothermie</t>
  </si>
  <si>
    <t>Verleih</t>
  </si>
  <si>
    <t>WC</t>
  </si>
  <si>
    <t>E-Laden</t>
  </si>
  <si>
    <t>RFID-Chip</t>
  </si>
  <si>
    <t>QR-Scanner</t>
  </si>
  <si>
    <t>24h kostenfrei</t>
  </si>
  <si>
    <t>PV-Module</t>
  </si>
  <si>
    <t>Lochblech</t>
  </si>
  <si>
    <t>Glas</t>
  </si>
  <si>
    <t>Holzbau</t>
  </si>
  <si>
    <t>Kaufpreis inkl. NK:</t>
  </si>
  <si>
    <t>Abschlusskosten (einmalig):</t>
  </si>
  <si>
    <t>Kosten jährlich:</t>
  </si>
  <si>
    <t>Genehmigungsbehörde:</t>
  </si>
  <si>
    <t>gesamt:</t>
  </si>
  <si>
    <t>Förderprogramm 1:</t>
  </si>
  <si>
    <t>Förderprogramm 2:</t>
  </si>
  <si>
    <t>Vertragspartner:</t>
  </si>
  <si>
    <t>Zeitraum:</t>
  </si>
  <si>
    <t>Kontakt:</t>
  </si>
  <si>
    <t>Ziel Inbetriebnahmetermin:</t>
  </si>
  <si>
    <t>Gesamt:</t>
  </si>
  <si>
    <t>Reparatursäule/Schlauchautomat</t>
  </si>
  <si>
    <t>Schließfächer</t>
  </si>
  <si>
    <t>Handy-App</t>
  </si>
  <si>
    <t>Videoüberwachung</t>
  </si>
  <si>
    <t>Gründach</t>
  </si>
  <si>
    <t>Link zur Kontaktseite auf der Startseite</t>
  </si>
  <si>
    <t>z.B. Fachämter, Planer, Fördermittelgeber, Betreiber</t>
  </si>
  <si>
    <t>Datum hier einfügen</t>
  </si>
  <si>
    <t>Bauen im Bestand oder Umnutzung?</t>
  </si>
  <si>
    <t>Beschreibung der übrigen Projektteile:</t>
  </si>
  <si>
    <t>Anlehnbügel (i.d.R. zwei Stellplätze pro Bügel):</t>
  </si>
  <si>
    <t>Doppelstockparker:</t>
  </si>
  <si>
    <t>Fahrradboxen (alternativ zu Sammelschließbereich):</t>
  </si>
  <si>
    <t>Derzeitiger Eigentümer</t>
  </si>
  <si>
    <t>Zukünftiger Eigentümer</t>
  </si>
  <si>
    <t>Vertragliche Regelungen (Betreibervertrag, EReG u.a.) ?</t>
  </si>
  <si>
    <t xml:space="preserve">      umfassenden Umgestaltung des Bahnhofsumfeldes?</t>
  </si>
  <si>
    <t>Meter:</t>
  </si>
  <si>
    <t>Flurstücksnr.:</t>
  </si>
  <si>
    <t>Größe (m²):</t>
  </si>
  <si>
    <t>Wer ?</t>
  </si>
  <si>
    <t>Fläche für Service (m²):</t>
  </si>
  <si>
    <t>Buchungs- und Zugangssystem für 
gesicherten Bereich (Kombination möglich)</t>
  </si>
  <si>
    <t>Abstellen entgeltpflichtig</t>
  </si>
  <si>
    <t>mehrgeschossig</t>
  </si>
  <si>
    <r>
      <t>CO</t>
    </r>
    <r>
      <rPr>
        <vertAlign val="subscript"/>
        <sz val="11"/>
        <color theme="1"/>
        <rFont val="Calibri"/>
        <family val="2"/>
        <scheme val="minor"/>
      </rPr>
      <t>2</t>
    </r>
    <r>
      <rPr>
        <sz val="11"/>
        <color theme="1"/>
        <rFont val="Calibri"/>
        <family val="2"/>
        <scheme val="minor"/>
      </rPr>
      <t>-Neutralität angestrebt?</t>
    </r>
  </si>
  <si>
    <t>Checkboxen</t>
  </si>
  <si>
    <r>
      <t xml:space="preserve">Investitionskosten gesamt    </t>
    </r>
    <r>
      <rPr>
        <i/>
        <sz val="10"/>
        <rFont val="Calibri"/>
        <family val="2"/>
        <scheme val="minor"/>
      </rPr>
      <t>(Kostenanalyse: H und J)</t>
    </r>
  </si>
  <si>
    <r>
      <t xml:space="preserve">Kosten Betrieb / Unterhalt gesamt    </t>
    </r>
    <r>
      <rPr>
        <i/>
        <sz val="10"/>
        <rFont val="Calibri"/>
        <family val="2"/>
        <scheme val="minor"/>
      </rPr>
      <t>(Kostenanalyse: K bis M)</t>
    </r>
  </si>
  <si>
    <t>Ergebnis Stellplätze (ermittelter Baubedarf):</t>
  </si>
  <si>
    <t>gesichert</t>
  </si>
  <si>
    <t>Reihenbügelanlage / Hoch-Tief-Einsteller:</t>
  </si>
  <si>
    <t>Sonstiges</t>
  </si>
  <si>
    <t>Anzahl Geschosse</t>
  </si>
  <si>
    <t>Fassadenplatten</t>
  </si>
  <si>
    <t>zu klärenden Punkten soll Ihnen hier die Orientierung bei Ihrem Projekt erleichtern. Bestimmte Werte, wie bspw. Investitionskosten oder die Anzahl zu bauender Stellplätze, werden automatisch</t>
  </si>
  <si>
    <t xml:space="preserve">aus den Teilen A bis D übernommen. In den grünen Feldern können Sie eigene Eintragungen vornehmen. </t>
  </si>
  <si>
    <t>Name Bearbeiter</t>
  </si>
  <si>
    <t>Kontakt Bearbeiter</t>
  </si>
  <si>
    <t>V_VER2</t>
  </si>
  <si>
    <t>V_VER1</t>
  </si>
  <si>
    <t>Anmerkungen 1</t>
  </si>
  <si>
    <t>Anmerkungen 2</t>
  </si>
  <si>
    <t xml:space="preserve">  ▪   In Teil D können Sie eine Analyse der Bau- und Betriebskosten sowie der Einnahmen (Fördermittel, Nutzungsentgelte) auf Grundlage der ermittelten (oder eigener) Bedarfsdaten durchführen.</t>
  </si>
  <si>
    <t>umfassenden Umgestaltung des Bahnhofsumfeldes?</t>
  </si>
  <si>
    <t>Zugang / Rabatt mit ÖV-Zeitkarte</t>
  </si>
  <si>
    <t>Nachrüstung Überdachung ohne Abstelltypwechsel</t>
  </si>
  <si>
    <t>Tabellenreiter "Kostenanalyse": A5 (neu) ergänzt; A5 (alt) zu A6; Verweise angepasst</t>
  </si>
  <si>
    <t>Bodenbelag / Überdachungen / Seitenwände (kleine Anlagen)</t>
  </si>
  <si>
    <t>Neue Drucklayouts angelegt und vorhandene angepasst</t>
  </si>
  <si>
    <t xml:space="preserve">  ▪   In Teil F werden Ihre in den Teilen A bis D gemachten Eingaben in einem Kurzbericht, den Sie ausdrucken bzw. als PDF abspeichern können, zusammengefasst.</t>
  </si>
  <si>
    <t>Drucken und PDF-Erstellung</t>
  </si>
  <si>
    <t xml:space="preserve">  ▪   der Bestandsaufnahmebogen auf dem Reiter "Zählung Bestand".</t>
  </si>
  <si>
    <t xml:space="preserve">  ▪   Der Kurzbericht (Teil F) mit der Zusammenfassung Ihrer Eingaben aus den Teilen A bis D sowie der zentralen Berechnungsergebnisse,</t>
  </si>
  <si>
    <t>Jährliche Gebäudeinstandhaltung (% von B1-4, C1 und D6)</t>
  </si>
  <si>
    <t>Ausdruck bzw. PDF-Erstellung der Teile A bis D sowie der Startseite sind selbstverständlich auch möglich; diese Teile sind aber nicht druckoptimiert. Von der Startseite werden nur die Grafiken</t>
  </si>
  <si>
    <t>ergebnisse übersichtlich zusammengefasst.</t>
  </si>
  <si>
    <t>können Sie rechts eingeben (z.B. Ihren Namen / Ihre Kontaktdaten).</t>
  </si>
  <si>
    <t>Name und Kontakt Bearbeiter:</t>
  </si>
  <si>
    <t>Anmerkungen:</t>
  </si>
  <si>
    <t>Gewählte Parameter für die Bedarfsermittlung</t>
  </si>
  <si>
    <t>Aus-lastung</t>
  </si>
  <si>
    <t>abgest. Räder</t>
  </si>
  <si>
    <t>Bahnhofsseiten:</t>
  </si>
  <si>
    <t>mit Abschreibungen</t>
  </si>
  <si>
    <t>je Stellplatz (ohne Abschr.)</t>
  </si>
  <si>
    <t>Verbleibender Investitionsbetrag</t>
  </si>
  <si>
    <t>Jährliche Kosten gesamt</t>
  </si>
  <si>
    <t>Einnahmen gesamt</t>
  </si>
  <si>
    <t>ohne Abschreibungen</t>
  </si>
  <si>
    <t>Verbleibendes Saldo aus 
Einnahmen und jährlichen Kosten</t>
  </si>
  <si>
    <t>Ermittelte Herstellungskosten gesamt für B+R-Anlage</t>
  </si>
  <si>
    <r>
      <t>Investitionsfinanzierung gesamt</t>
    </r>
    <r>
      <rPr>
        <sz val="13"/>
        <rFont val="Calibri"/>
        <family val="2"/>
        <scheme val="minor"/>
      </rPr>
      <t xml:space="preserve"> </t>
    </r>
    <r>
      <rPr>
        <i/>
        <sz val="11"/>
        <rFont val="Calibri"/>
        <family val="2"/>
        <scheme val="minor"/>
      </rPr>
      <t>= Herstellungskosten</t>
    </r>
  </si>
  <si>
    <t>Erstellt mit Datei-Version:</t>
  </si>
  <si>
    <t>Zusammenfassung der Bestandseingabe: Stellplätze und abgestellte Räder</t>
  </si>
  <si>
    <t>↘</t>
  </si>
  <si>
    <r>
      <t xml:space="preserve">Bautyp </t>
    </r>
    <r>
      <rPr>
        <sz val="13"/>
        <rFont val="Calibri"/>
        <family val="2"/>
        <scheme val="minor"/>
      </rPr>
      <t>→</t>
    </r>
  </si>
  <si>
    <t>Verteilung des Baubedarfs</t>
  </si>
  <si>
    <t>Art der Berechnung:</t>
  </si>
  <si>
    <t>Druck / PDF: bitte nutzen Sie die Druckfunktion von Excel (im Menü oder Tastenkürzel Strg + P) – es wird nur die Beschreibung/Checkliste unten ausgedruckt</t>
  </si>
  <si>
    <t>Art der Ermittlung des Trendfaktors:</t>
  </si>
  <si>
    <t>Rahmendaten zur Ermittlung des Trendfaktors:</t>
  </si>
  <si>
    <t>Vandalismusschwerpunkt:</t>
  </si>
  <si>
    <t>Hoher Einpendleranteil:</t>
  </si>
  <si>
    <t>Sicheres Abstellen wird kostenfrei angeboten:</t>
  </si>
  <si>
    <t>Ermittelter Trendfaktor:</t>
  </si>
  <si>
    <t>Datum der Berichtserstellung:</t>
  </si>
  <si>
    <t>bzw. Neuerrichtung rückgebauter optimaler Stellplätze</t>
  </si>
  <si>
    <t>am Ende gedruckt bzw. in ein PDF eingebunden.</t>
  </si>
  <si>
    <r>
      <rPr>
        <b/>
        <sz val="14"/>
        <color theme="6" tint="-0.499984740745262"/>
        <rFont val="Calibri"/>
        <family val="2"/>
        <scheme val="minor"/>
      </rPr>
      <t>Druck / PDF</t>
    </r>
    <r>
      <rPr>
        <sz val="14"/>
        <color theme="6" tint="-0.499984740745262"/>
        <rFont val="Calibri"/>
        <family val="2"/>
        <scheme val="minor"/>
      </rPr>
      <t xml:space="preserve">: bitte nutzen Sie die Druckfunktion von Excel (im Menü oder Tastenkürzel Strg + P) – es wird nur der Bestandsaufnahmebogen unten ausgedruckt.
</t>
    </r>
    <r>
      <rPr>
        <b/>
        <sz val="14"/>
        <color theme="6" tint="-0.499984740745262"/>
        <rFont val="Calibri"/>
        <family val="2"/>
        <scheme val="minor"/>
      </rPr>
      <t>Eingabe der Daten</t>
    </r>
    <r>
      <rPr>
        <sz val="14"/>
        <color theme="6" tint="-0.499984740745262"/>
        <rFont val="Calibri"/>
        <family val="2"/>
        <scheme val="minor"/>
      </rPr>
      <t>: Ihre erhobenen Daten geben Sie bitte auf dem Reiter "A ▪ Bestandseingabe" ein.</t>
    </r>
  </si>
  <si>
    <t>temporär entfernt werden müssen, diese nach Abschluss der Baumaßnahmen aber wieder errichtet werden sollen.</t>
  </si>
  <si>
    <t>Handelt es sich bei den rückzubauenden Radabstellanlagen bereits um "optimale" Stellplätze gemäß der Definition auf der Startseite und Ihrer Bestandseingabe oben, dann können Sie</t>
  </si>
  <si>
    <t>Reisendenzahlen (Ein- und Aussteiger) und Verkehrsprognosen fragen Sie bitte – je nach ausgewählter Option – bei der DB (Infostelle Fahrradparken) oder den regionalen Verkehrsverbünden/Stellen ab.</t>
  </si>
  <si>
    <t>Tabellenreiter "Kostenanalyse": D5 zu "Schließfächer" geändert und Einheitswert angepasst</t>
  </si>
  <si>
    <t>Weblinks aktualisiert</t>
  </si>
  <si>
    <t>Kapitaldienst p.a.</t>
  </si>
  <si>
    <t>Bitte klicken und eine Option für die Dateneingabe auswählen…</t>
  </si>
  <si>
    <t>Bei zwei Bahnhofsseiten erhalten Sie später die Möglichkeit, diese für eine Gesamtbetrachtung zusammenzuschalten.</t>
  </si>
  <si>
    <t>Wie möchten Sie Ihre Bestandsdaten unten eingeben?</t>
  </si>
  <si>
    <t>Zwei Eingabespalten: separate Dateneingabe für zwei Bahnhofsseiten</t>
  </si>
  <si>
    <t>Eine Eingabespalte: gesamter Bahnhof/Haltepunkt bzw. nur eine Bahnhofsseite</t>
  </si>
  <si>
    <r>
      <t xml:space="preserve">Förderung 1  </t>
    </r>
    <r>
      <rPr>
        <sz val="11"/>
        <color theme="7" tint="-0.249977111117893"/>
        <rFont val="Calibri"/>
        <family val="2"/>
        <scheme val="minor"/>
      </rPr>
      <t xml:space="preserve"> </t>
    </r>
    <r>
      <rPr>
        <i/>
        <sz val="11"/>
        <color theme="7" tint="-0.249977111117893"/>
        <rFont val="Calibri"/>
        <family val="2"/>
        <scheme val="minor"/>
      </rPr>
      <t>(hier ggf. Name des Programms / der Förderung ergänzen)</t>
    </r>
  </si>
  <si>
    <r>
      <t xml:space="preserve">Förderung 2   </t>
    </r>
    <r>
      <rPr>
        <i/>
        <sz val="11"/>
        <color theme="7" tint="-0.249977111117893"/>
        <rFont val="Calibri"/>
        <family val="2"/>
        <scheme val="minor"/>
      </rPr>
      <t>(hier ggf. Name des Programms / der Förderung ergänzen)</t>
    </r>
  </si>
  <si>
    <r>
      <t xml:space="preserve">Auf dieser Seite wird ein </t>
    </r>
    <r>
      <rPr>
        <b/>
        <sz val="11"/>
        <color theme="1"/>
        <rFont val="Calibri"/>
        <family val="2"/>
        <scheme val="minor"/>
      </rPr>
      <t>Kurzbericht</t>
    </r>
    <r>
      <rPr>
        <sz val="11"/>
        <color theme="1"/>
        <rFont val="Calibri"/>
        <family val="2"/>
        <scheme val="minor"/>
      </rPr>
      <t xml:space="preserve"> generiert. In diesem sind alle Ihre</t>
    </r>
  </si>
  <si>
    <t>Eingaben in den Teilen A bis D sowie die zentralen Berechnungs-</t>
  </si>
  <si>
    <t>Ergänzende Angaben, die auf dem Kurzbericht erscheinen sollen,</t>
  </si>
  <si>
    <t>Der Vor- und Nachlaufanteil B+R am aktuellen Fahrgastaufkommen beträgt mit Ihren Eingaben und gewählten Bahnhofsseiten derzeit:</t>
  </si>
  <si>
    <t>Der Vor- und Nachlaufanteil B+R am aktuellen Fahrgastaufkommen würde bei voller Auslastung aller Radabstellplätze betragen (ohne Wildparker):</t>
  </si>
  <si>
    <t>Kosten, Fördermittel und Erlöse</t>
  </si>
  <si>
    <t>Verbleibendes Saldo aus Einnahmen und jährlichen Kosten (mit Abschreibungen und Berücksichtigung der Zusatzeinnahmen)</t>
  </si>
  <si>
    <t>Tabellenreiter "Kostenanalyse": Bereich P aus Gesamtsalden entfernt, verschoben und P5 ergänzt</t>
  </si>
  <si>
    <t>Verbleibendes Saldo aus Einnahmen und jährlichen Kosten
(mit Abschreibungen und Berücksichtigung der Zusatzeinnahmen)</t>
  </si>
  <si>
    <t>Ggf. Zusatzeinnahmen durch ÖV-Neukunden</t>
  </si>
  <si>
    <t>Anteil der 
Einnahmen an 
jährlichen Kosten</t>
  </si>
  <si>
    <t>Realistischer Anteil von Neukunden mit Bau der Anlage</t>
  </si>
  <si>
    <t>Projektname</t>
  </si>
  <si>
    <t>Verbleibendes Saldo aus Einnahmen und jährlichen Kosten (mit Abschreibungen):</t>
  </si>
  <si>
    <t>Projektname:</t>
  </si>
  <si>
    <r>
      <rPr>
        <b/>
        <sz val="11"/>
        <rFont val="Calibri"/>
        <family val="2"/>
        <scheme val="minor"/>
      </rPr>
      <t>Bitte übertragen Sie folgende Werte in den Wirkungsrechner:</t>
    </r>
    <r>
      <rPr>
        <sz val="11"/>
        <rFont val="Calibri"/>
        <family val="2"/>
        <scheme val="minor"/>
      </rPr>
      <t xml:space="preserve">
</t>
    </r>
    <r>
      <rPr>
        <i/>
        <sz val="10"/>
        <rFont val="Calibri"/>
        <family val="2"/>
        <scheme val="minor"/>
      </rPr>
      <t>(weitere Informationen zum Wirkungsrechner siehe Startseite)</t>
    </r>
  </si>
  <si>
    <r>
      <t xml:space="preserve">Mitfinanzierung durch ÖV-Neukunden  </t>
    </r>
    <r>
      <rPr>
        <sz val="11"/>
        <color theme="1"/>
        <rFont val="Calibri"/>
        <family val="2"/>
        <scheme val="minor"/>
      </rPr>
      <t>(nur optional – bitte Preis bei P1 und Prozentwert bei P3 eintragen sowie ggf. P2 anpassen, um geschätzte Zusatzeinnahmen zu berechnen)</t>
    </r>
  </si>
  <si>
    <r>
      <t>v3.0</t>
    </r>
    <r>
      <rPr>
        <sz val="10"/>
        <color theme="2"/>
        <rFont val="Calibri"/>
        <family val="2"/>
        <scheme val="minor"/>
      </rPr>
      <t xml:space="preserve"> (11.09.22)</t>
    </r>
  </si>
  <si>
    <t>Diese Datei wurde durch die BahnStadt Planungsgesellschaft für Bahnhofsentwicklung mbH entwickelt.
Änderungen von Inhalten und/oder Berechnungen bedürfen der Zustimmung des Urhebers.</t>
  </si>
  <si>
    <t>Tabellenreiter "Kurzbericht": Formel zur Berechnung des Radverkehrsanteils aktualisiert</t>
  </si>
  <si>
    <t>L und M</t>
  </si>
  <si>
    <t>1 bis 3</t>
  </si>
  <si>
    <t>Sonderstellplätze</t>
  </si>
  <si>
    <t>Sonderfall Er-
richtung nicht
überdachter Stellplätze hier eintragen*</t>
  </si>
  <si>
    <t>Sonderstellplätze inklusive Gründung/Befestigung/Montage je Stellplatz</t>
  </si>
  <si>
    <t>Abstelltyp "Sonderstellplätze" ergänzt</t>
  </si>
  <si>
    <t>1 bis 5</t>
  </si>
  <si>
    <t xml:space="preserve">  ▪   Erforderlicher Anteil an Stellplätzen mit Nutzungsentgelt (A7) für Neukunden</t>
  </si>
  <si>
    <t>Klick = A7 bearbeiten</t>
  </si>
  <si>
    <t>Anzahl Stellplätze mit Entgelt aus A1 bis A5</t>
  </si>
  <si>
    <t>Anlagenwartung und Reinigung (% von A1-5, D1-5)</t>
  </si>
  <si>
    <t>Errichtung
inklusive Überdachung</t>
  </si>
  <si>
    <t>Sonderstellplätze (z.B. für Lastenräder)</t>
  </si>
  <si>
    <r>
      <t>Sonderstellplätze</t>
    </r>
    <r>
      <rPr>
        <sz val="10"/>
        <color theme="1"/>
        <rFont val="Calibri"/>
        <family val="2"/>
        <scheme val="minor"/>
      </rPr>
      <t xml:space="preserve"> </t>
    </r>
    <r>
      <rPr>
        <i/>
        <sz val="10"/>
        <color theme="1"/>
        <rFont val="Calibri"/>
        <family val="2"/>
        <scheme val="minor"/>
      </rPr>
      <t>(z.B. Lastenräder)</t>
    </r>
  </si>
  <si>
    <t>Sonderstellplätze (z.B. für Lastenräder, Fahrradanhänger):</t>
  </si>
  <si>
    <r>
      <rPr>
        <b/>
        <sz val="14"/>
        <color theme="7" tint="-0.249977111117893"/>
        <rFont val="Calibri"/>
        <family val="2"/>
        <scheme val="minor"/>
      </rPr>
      <t>2.</t>
    </r>
    <r>
      <rPr>
        <b/>
        <sz val="11"/>
        <color theme="7" tint="-0.249977111117893"/>
        <rFont val="Calibri"/>
        <family val="2"/>
        <scheme val="minor"/>
      </rPr>
      <t xml:space="preserve"> Zuordnung der Bautypen zu Abstelltypen für die Kostenanalyse</t>
    </r>
  </si>
  <si>
    <t>inkl. Gründung/Montage je Stellplatz</t>
  </si>
  <si>
    <t>Planungstool Radparken – Bedarfs- und Kostenrechner / Projektbeschreibung</t>
  </si>
  <si>
    <t>Gesicherte Stellplätze</t>
  </si>
  <si>
    <t>FPH %</t>
  </si>
  <si>
    <r>
      <rPr>
        <b/>
        <sz val="11"/>
        <color theme="9" tint="-0.249977111117893"/>
        <rFont val="Calibri"/>
        <family val="2"/>
        <scheme val="minor"/>
      </rPr>
      <t>Bitte beachten</t>
    </r>
    <r>
      <rPr>
        <sz val="11"/>
        <color theme="9" tint="-0.249977111117893"/>
        <rFont val="Calibri"/>
        <family val="2"/>
        <scheme val="minor"/>
      </rPr>
      <t>: in den Berechnungen sind Rundungsdifferenzen insbesondere bei kleinen Stellplatzanzahlen möglich, da berechnete Werte stets auf ganze Stellplatzzahlen aufgerundet werden.</t>
    </r>
  </si>
  <si>
    <t>SSA / FB</t>
  </si>
  <si>
    <r>
      <t>FPH ∑</t>
    </r>
    <r>
      <rPr>
        <b/>
        <sz val="11"/>
        <color rgb="FF00B0F0"/>
        <rFont val="Calibri"/>
        <family val="2"/>
        <scheme val="minor"/>
      </rPr>
      <t>*</t>
    </r>
  </si>
  <si>
    <r>
      <t>FPH</t>
    </r>
    <r>
      <rPr>
        <b/>
        <sz val="11"/>
        <color rgb="FF00B0F0"/>
        <rFont val="Calibri"/>
        <family val="2"/>
        <scheme val="minor"/>
      </rPr>
      <t>*</t>
    </r>
  </si>
  <si>
    <t>↑ offen</t>
  </si>
  <si>
    <t>↑ sicher</t>
  </si>
  <si>
    <t>(offen)</t>
  </si>
  <si>
    <t>Ermittelter Baubedarf und Verteilung der Stellplätze</t>
  </si>
  <si>
    <t>davon gesichert</t>
  </si>
  <si>
    <t>Anteil gesicherter Stellplätze im Fahrradparkhaus
(interne Voreinstellung* = 100 %):</t>
  </si>
  <si>
    <t>Nutzungsentgelte Radabstellung bei realistischer Auslastung</t>
  </si>
  <si>
    <t>bislang offen zugängliche Anlage wird hier nicht betrachtet</t>
  </si>
  <si>
    <t>Möglichkeit zur Festlegung des Anteils gesicherter Stellplätze im Fahrradparkhaus ergänzt</t>
  </si>
  <si>
    <t>Die folgende Grafik veranschaulicht die Bau- und Abstelltypen sowie die Bewertungskategorien "optimal", "optimal gesichert", "nicht-optimal" und "Wildparker". Die Zuordnung von</t>
  </si>
  <si>
    <r>
      <rPr>
        <b/>
        <sz val="11"/>
        <color theme="1"/>
        <rFont val="Calibri"/>
        <family val="2"/>
        <scheme val="minor"/>
      </rPr>
      <t>Definition "gesichert"</t>
    </r>
    <r>
      <rPr>
        <sz val="11"/>
        <color theme="1"/>
        <rFont val="Calibri"/>
        <family val="2"/>
        <scheme val="minor"/>
      </rPr>
      <t>: als "gesicherte Stellplätze", "sicheres Abstellen" oder ähnliche Formulierungen sind in diesem Planungstool all jene Stellplätze gemeint, die nur über eine</t>
    </r>
  </si>
  <si>
    <t>Zugangssicherung erreicht werden können und sich i.d.R. auch in einer vollständig eingezäunten bzw. baulich abgeschlossenen Anlage befinden. Das jeweilige Zugangssystem kann je nach</t>
  </si>
  <si>
    <t xml:space="preserve">  ▪   sowohl differenziert nach Bautypen (freistehend, überdacht, gesichert) sowie Abstelltypen (Vorderradhalter, Anlehnbügel etc.),</t>
  </si>
  <si>
    <t xml:space="preserve">  ▪   Wichtig für die Akzeptanz einer Radabstellanlage ist neben ihrer Ausstattung (u.a. Überdachung, Zugangssicherung) auch die Lage. Je Anlagentyp gibt es verschiedene Richtwerte für die </t>
  </si>
  <si>
    <t>…und gesichert</t>
  </si>
  <si>
    <t>Erstmaliger bzw. erhöhter Bedarf an gesicherten Stellplätzen</t>
  </si>
  <si>
    <t>Wenn an Bahnhöfen / Haltepunkten bisher keine optimalen, gesicherten Stellplätze (Definition siehe Reiter "Weitere Informationen") vorhanden sind und eine gesicherte Radabstellanlage</t>
  </si>
  <si>
    <t xml:space="preserve">  ▪   wenn die Bedarfsberechnung einen Baubedarf ermittelt, werden 24 Stellplätze (marktübliche Mindestgröße) für gesichertes Abstellen reserviert,</t>
  </si>
  <si>
    <t xml:space="preserve">  ▪   wenn die Bedarfsberechnung keinen Baubedarf (oder Baubedarf weniger als 24 Stellplätze) ermittelt, werden 24 Stellplätze für gesichertes Abstellen als Baubedarf angenommen.</t>
  </si>
  <si>
    <t>Sie haben in Teil C die Möglichkeit, den Anteil gesicherter Stellplätze für die Kostenberechnung weiter zu erhöhen (im Rahmen des ermittelten Baubedarfs).</t>
  </si>
  <si>
    <t>Ferner haben Sie folgende Zuschlags-Optionen für die Bedarfsberechnung gesicherter Stellplätze (bezogen auf erstmaligen Bedarf als auch auf den vorhandenen Bestand):</t>
  </si>
  <si>
    <t xml:space="preserve">       wird der Bedarf an gesicherten Stellplätzen zusätzlich zu den in der Bedarfsermittlung ermittelten sicheren Abstellplätzen erhöht.</t>
  </si>
  <si>
    <t xml:space="preserve">  ▪   Bitte geben Sie auch an, ob sicheres Abstellen kostenfrei angeboten wird; die benötigte Anzahl gesicherter Stellplätze am Bahnhof / Haltepunkt wird dann ebenfalls weiter erhöht.</t>
  </si>
  <si>
    <t xml:space="preserve">  ▪   An Bahnhöfen / Haltepunkten mit hohem Einpendleranteil kann u.U. ebenfalls eine zusätzliche Erhöhung der gesicherten Stellplätze nötig sein.</t>
  </si>
  <si>
    <r>
      <t xml:space="preserve">Jede der o.g. drei Zuschlags-Optionen erhöht den ermittelten Bedarf an gesicherten Stellplätzen um jeweils </t>
    </r>
    <r>
      <rPr>
        <b/>
        <sz val="11"/>
        <color theme="1"/>
        <rFont val="Calibri"/>
        <family val="2"/>
        <scheme val="minor"/>
      </rPr>
      <t>15 %</t>
    </r>
    <r>
      <rPr>
        <sz val="11"/>
        <color theme="1"/>
        <rFont val="Calibri"/>
        <family val="2"/>
        <scheme val="minor"/>
      </rPr>
      <t>.</t>
    </r>
  </si>
  <si>
    <t>Erstmalige Errichtung optimaler gesicherter Stellplätze</t>
  </si>
  <si>
    <t>Kostenfreies, gesichertes Abstellen</t>
  </si>
  <si>
    <t>Ist es angedacht, sicheres Abstellen von Fahrrädern in einer gesicherten Anlage kostenfrei anzubieten?</t>
  </si>
  <si>
    <t>optimal und gesichert</t>
  </si>
  <si>
    <t>optimal, nicht gesichert</t>
  </si>
  <si>
    <r>
      <t xml:space="preserve">  ▪   24 </t>
    </r>
    <r>
      <rPr>
        <u/>
        <sz val="11"/>
        <color theme="1"/>
        <rFont val="Calibri"/>
        <family val="2"/>
        <scheme val="minor"/>
      </rPr>
      <t>Stellplätze</t>
    </r>
    <r>
      <rPr>
        <sz val="11"/>
        <color theme="1"/>
        <rFont val="Calibri"/>
        <family val="2"/>
        <scheme val="minor"/>
      </rPr>
      <t xml:space="preserve"> vom Baubedarf werden als </t>
    </r>
    <r>
      <rPr>
        <b/>
        <sz val="11"/>
        <color theme="6" tint="-0.249977111117893"/>
        <rFont val="Calibri"/>
        <family val="2"/>
        <scheme val="minor"/>
      </rPr>
      <t>Mindestbedarf</t>
    </r>
    <r>
      <rPr>
        <sz val="11"/>
        <color theme="1"/>
        <rFont val="Calibri"/>
        <family val="2"/>
        <scheme val="minor"/>
      </rPr>
      <t xml:space="preserve"> für gesichertes Abstellen reserviert</t>
    </r>
  </si>
  <si>
    <r>
      <t xml:space="preserve">Errichtung zusätzlicher, gesicherter Stellplätze (Erhöhung Bau- und </t>
    </r>
    <r>
      <rPr>
        <b/>
        <sz val="11"/>
        <color theme="6" tint="-0.249977111117893"/>
        <rFont val="Calibri"/>
        <family val="2"/>
        <scheme val="minor"/>
      </rPr>
      <t>Mindestbedarf</t>
    </r>
    <r>
      <rPr>
        <sz val="11"/>
        <color theme="1"/>
        <rFont val="Calibri"/>
        <family val="2"/>
        <scheme val="minor"/>
      </rPr>
      <t>) aufgrund:</t>
    </r>
  </si>
  <si>
    <t>davon Mindestbedarf an gesicherten Stellplätzen</t>
  </si>
  <si>
    <t xml:space="preserve">       c)   ...der ermittelte Mindestbedarf an gesicherten Stellplätzen wurde dabei unterschritten, dann wird der verteilte Wert bei der Sammelschließanlage entsprechend erhöht.</t>
  </si>
  <si>
    <t xml:space="preserve">  ▪   Sie können den Schwellenwert für das Fahrradparkhaus ändern, sowie den Anteil der gesicherten Stellplätze im Fahrradparkhaus verringern (Voreinstellung: 100 %).</t>
  </si>
  <si>
    <t xml:space="preserve">  ▪   Bitte verteilen Sie hier die einzelnen Stellplätze auf die verschiedenen für den jeweiligen Bautyp möglichen Abstelltypen:</t>
  </si>
  <si>
    <t xml:space="preserve">       Anlehnbügel, Reihenbügel, Doppelstockparker, Sonderstellplätze (z.B. Lastenräder), Fahrradboxen.</t>
  </si>
  <si>
    <t xml:space="preserve">  ▪   davon Mindestbedarf für gesicherte Stellplätze</t>
  </si>
  <si>
    <t>Anlagentyp unterschiedlich ausgeprägt sein: z.B. PIN-Code, RFID-Chip, QR-Scanner, Schlüssel etc.</t>
  </si>
  <si>
    <t>Optionen für Zuschläge bei
gesicherten Stellplätzen:</t>
  </si>
  <si>
    <t>Erstmalige Errichtung gesicherter Stellplätze:</t>
  </si>
  <si>
    <t>davon Mindestbedarf für gesicherte Stellplätze</t>
  </si>
  <si>
    <t>optimal + gesichert</t>
  </si>
  <si>
    <t>Preis je kWh:</t>
  </si>
  <si>
    <r>
      <t xml:space="preserve">Elektroenergie (jährliche Kosten – </t>
    </r>
    <r>
      <rPr>
        <i/>
        <sz val="11"/>
        <color theme="1"/>
        <rFont val="Calibri"/>
        <family val="2"/>
        <scheme val="minor"/>
      </rPr>
      <t>hier klicken für Berechnungserläuterung</t>
    </r>
    <r>
      <rPr>
        <sz val="11"/>
        <color theme="1"/>
        <rFont val="Calibri"/>
        <family val="2"/>
        <scheme val="minor"/>
      </rPr>
      <t>)</t>
    </r>
  </si>
  <si>
    <t>Tabellenreiter "Kostenanalyse": Berechnung L1 geändert: Preis je kWh kann nun angegeben werden</t>
  </si>
  <si>
    <t>Definition ergänzt: "gesicherte Stellplätze / sicheres Abstellen" u.ä. und dateiweite Vereinheitlichung</t>
  </si>
  <si>
    <t>nein</t>
  </si>
  <si>
    <r>
      <t>v3.1</t>
    </r>
    <r>
      <rPr>
        <sz val="10"/>
        <color theme="2"/>
        <rFont val="Calibri"/>
        <family val="2"/>
        <scheme val="minor"/>
      </rPr>
      <t xml:space="preserve"> (07.11.22)</t>
    </r>
  </si>
  <si>
    <t>Herstellung Bodenbelag (z.B. Pflasterung, Fundamente)</t>
  </si>
  <si>
    <t>Gebäudekonstruktion inklusive Gründung, Böden, Decken, Fassaden</t>
  </si>
  <si>
    <t>V_ARBEIT</t>
  </si>
  <si>
    <t>ARBEITSDATEI INFOSTELLE -
NUR INTERN NUTZEN</t>
  </si>
  <si>
    <t>davon gesicherte Abstellplätze in Sammelschließanlage</t>
  </si>
  <si>
    <t>davon gesicherte Abstellplätze in Fahrradboxen</t>
  </si>
  <si>
    <t>davon gesicherte Abstellplätze im Fahrradparkhaus / Radstation</t>
  </si>
  <si>
    <t>6a</t>
  </si>
  <si>
    <t>6b</t>
  </si>
  <si>
    <t>6c</t>
  </si>
  <si>
    <t>← Eingabe prüfen: Wert/Summen zu hoch</t>
  </si>
  <si>
    <t>Tabellenreiter "Kostenanalyse": Berechnungslogik Fördersätze angepasst</t>
  </si>
  <si>
    <t>Datum / Uhrzeit</t>
  </si>
  <si>
    <t>Bearbeiter</t>
  </si>
  <si>
    <t>Bestandsaufnahme(n) vom:</t>
  </si>
  <si>
    <t xml:space="preserve">
Bestandsaufnahme(n)</t>
  </si>
  <si>
    <t>Datum</t>
  </si>
  <si>
    <t>Uhrzeit</t>
  </si>
  <si>
    <t>1. Bestandsaufnahme</t>
  </si>
  <si>
    <t>2. Bestandsaufnahme</t>
  </si>
  <si>
    <t>3. Bestandsaufnahme</t>
  </si>
  <si>
    <t>4. Bestandsaufnahme</t>
  </si>
  <si>
    <t>5. Bestandsaufnahme</t>
  </si>
  <si>
    <t>TBS_4</t>
  </si>
  <si>
    <t>Merged:</t>
  </si>
  <si>
    <t>Tabellenreiter "Startseite": Grafik "Schema der Bestandsermittlung" aktualisiert</t>
  </si>
  <si>
    <t>Tabellenreiter "Ergebnisjustierung": Voreinstellung Schwellenwert für Fahrradparkhaus auf 500 erhöht</t>
  </si>
  <si>
    <t>Tabellenreiter "Kostenanalyse": A6 erweitert zu A6a bis A6c</t>
  </si>
  <si>
    <t>Tabellenreiter "Kostenanalyse": Übernahme von Voreinstellungen/Richtwerten für Kosten</t>
  </si>
  <si>
    <t>Sie können den Trendfaktor anhand einer der folgenden vier Optionen ermitteln:</t>
  </si>
  <si>
    <t>Der Trendfaktor ist die prognostizierte Änderung der Reisendenzahlen zu einem bestimmten Jahr an einem Bahnhof und fließt als Prozentwert in die Bedarfsberechnung ein. Bitte geben Sie für die</t>
  </si>
  <si>
    <t>ist dies eine Pflichteingabe.</t>
  </si>
  <si>
    <t>Ermittlung des Radverkehrsanteils die aktuelle Zahl der Ein- und Aussteiger an der Verkehrsstation ein, wenn Sie diese kennen. Für die ersten beiden Optionen zur Trendfaktorermittlung</t>
  </si>
  <si>
    <t>V_FPH:</t>
  </si>
  <si>
    <r>
      <t xml:space="preserve">Änderung Schwellenwert (interne Voreinstellung* = 500):
</t>
    </r>
    <r>
      <rPr>
        <i/>
        <sz val="10"/>
        <color theme="7" tint="-0.249977111117893"/>
        <rFont val="Calibri"/>
        <family val="2"/>
        <scheme val="minor"/>
      </rPr>
      <t>(ab welchem Gesamtbaubedarf soll ein Fahrradparkhaus entstehen)</t>
    </r>
  </si>
  <si>
    <t>Nach der Übernahme der Daten aus Teil C werden automatisch Voreinstellungen für die Kostenberechnung gemäß nachfolgender Richtwerte eingetragen. Die Voreinstellungen können Sie</t>
  </si>
  <si>
    <t>ändern und auf projektspezifische Werte anpassen, indem Sie in das grüne Feld rechts davon einen eigenen Wert eintragen. Das Eintragen einer Null schließt die Position aus der Kostenanalyse</t>
  </si>
  <si>
    <t>aus. Das Leeren des grünen Feldes (mit ENTF-Taste) führt zur erneuten Übernahme der Voreinstellung.</t>
  </si>
  <si>
    <t>Wenn Ihre Bestandseingabe und Ergebnisjustierung zwei Bahnhofsseiten umfasste, wird dies bei den Voreinstellungen berücksichtigt.</t>
  </si>
  <si>
    <t>Beispiel-Position</t>
  </si>
  <si>
    <t>In diesem Feld steht die automatisch ermittelte Voreinstellung.   ▲</t>
  </si>
  <si>
    <t>▲   In diesem Feld können Sie die Voreinstellung mit einem eigenen Wert überschreiben.</t>
  </si>
  <si>
    <t>Bei der Eingabe eigener Bestandsdaten (ohne Übernahme aus Teil C) werden keine Werte voreingestellt. Sie können sich für Ihre manuelle Berechnung an den Richtwerten orientieren.</t>
  </si>
  <si>
    <t>Richtwerte zur Ermittlung der Grundfläche (für B1, B2, C1 und D3)</t>
  </si>
  <si>
    <t>Weitere Richtwerte (für B3 und B4, D1 und D2)</t>
  </si>
  <si>
    <t>2 m² je Stück = 1 m² je Stellplatz zzgl. 20 % Erschließungsflächen</t>
  </si>
  <si>
    <t>Seitenwände</t>
  </si>
  <si>
    <t>Die ermittelte Grundfläche wird als Quadrat angenommen,</t>
  </si>
  <si>
    <t>Reihenbügelanlage</t>
  </si>
  <si>
    <t xml:space="preserve">vom dem der Umfang berechnet und mit 3 m </t>
  </si>
  <si>
    <t>1,5 m² je Stück = 0,75 m² je Stellplatz zzgl. 25 % Erschließungsfläche</t>
  </si>
  <si>
    <t>Wandhöhe multipliziert wird (= Fläche B3)</t>
  </si>
  <si>
    <t>2,5 m² je Stellplatz zzgl. 25 % Erschließungsfläche</t>
  </si>
  <si>
    <t>Türen und</t>
  </si>
  <si>
    <t xml:space="preserve">In Sammelschließanlage: je 80 m² Grundfläche </t>
  </si>
  <si>
    <t>Fahrradbox</t>
  </si>
  <si>
    <t>2,5 m² je Stellplatz zzgl. 20 % Erschließungsfläche</t>
  </si>
  <si>
    <t>Zugangssystem</t>
  </si>
  <si>
    <t>eine Tür (B4) mit kleinem Zuganssystem (D1)</t>
  </si>
  <si>
    <t>Im Fahrradparkhaus (wenn gesicherte Stellplätze vorhanden):</t>
  </si>
  <si>
    <t>zwei große Zugangssysteme (D2)</t>
  </si>
  <si>
    <t>Stellplätze.</t>
  </si>
  <si>
    <t>Richtwerte und Voreinstrellungen Kostenanalyse</t>
  </si>
  <si>
    <t>VA_Zusammen:</t>
  </si>
  <si>
    <t>VA_Kostenanalyse:</t>
  </si>
  <si>
    <t>Lage / Art</t>
  </si>
  <si>
    <t>ÜAA / 1</t>
  </si>
  <si>
    <t>SSA / 1</t>
  </si>
  <si>
    <t>Fbox / 1</t>
  </si>
  <si>
    <t>FPH / 1</t>
  </si>
  <si>
    <t>ÜAA / 2</t>
  </si>
  <si>
    <t>SSA / 2</t>
  </si>
  <si>
    <t>Fbox / 2</t>
  </si>
  <si>
    <t>FPH / 2</t>
  </si>
  <si>
    <t>Grundfläche</t>
  </si>
  <si>
    <t>VA_Bestandseing.</t>
  </si>
  <si>
    <t>Dachfläche</t>
  </si>
  <si>
    <t>Beleuchtung</t>
  </si>
  <si>
    <t>Sichere Fläche</t>
  </si>
  <si>
    <t>ÜAA</t>
  </si>
  <si>
    <t>sicher</t>
  </si>
  <si>
    <t>mit Dach</t>
  </si>
  <si>
    <t>ohne Dach</t>
  </si>
  <si>
    <t>Nachrüstung Dach</t>
  </si>
  <si>
    <t>Baukosten aus E0 je Stellplatz</t>
  </si>
  <si>
    <t>Tabellenreiter "Zählung Bestand": Ergänzung Textbausteine zu Waisenrädern, zum seitlichen Bügelabstand bei Anlehnbügeln und zu nicht nutzbaren Stellplätzen</t>
  </si>
  <si>
    <t>Tabellenreiter "Bestandseingabe" und "Kurzbericht": Datum/Uhrzeit/Bearbeiter der Bestandsaufnahme sowie "nicht nutzbare Stellplätze" ergänzt</t>
  </si>
  <si>
    <r>
      <t xml:space="preserve">  ▪   Bitte achten Sie bei der Zählung von Anlehnbügeln darauf, dass alle Stellplätze </t>
    </r>
    <r>
      <rPr>
        <b/>
        <sz val="11"/>
        <color theme="1"/>
        <rFont val="Calibri"/>
        <family val="2"/>
        <scheme val="minor"/>
      </rPr>
      <t>bequem nutzbar</t>
    </r>
    <r>
      <rPr>
        <sz val="11"/>
        <color theme="1"/>
        <rFont val="Calibri"/>
        <family val="2"/>
        <scheme val="minor"/>
      </rPr>
      <t xml:space="preserve"> sind. Sollte der </t>
    </r>
    <r>
      <rPr>
        <b/>
        <sz val="11"/>
        <color theme="1"/>
        <rFont val="Calibri"/>
        <family val="2"/>
        <scheme val="minor"/>
      </rPr>
      <t>seitliche Abstand der Bügel zu eng</t>
    </r>
    <r>
      <rPr>
        <sz val="11"/>
        <color theme="1"/>
        <rFont val="Calibri"/>
        <family val="2"/>
        <scheme val="minor"/>
      </rPr>
      <t xml:space="preserve"> sein (i.d.R. bei freistehenden Bügeln mit</t>
    </r>
  </si>
  <si>
    <t xml:space="preserve">       Seitenabstand &lt;100 cm, meist erkennbar durch überwiegende einseitige Benutzung auch bei hoher Auslastung), so sollte auch nur ein Stellplatz je Bügel gezählt werden. Wird ein Stellplatz durch</t>
  </si>
  <si>
    <t xml:space="preserve">       z.B. eine Dachstütze blockiert oder der Bügel zu eng an einer Außenwand stehen, so ist hier kein Stellplatz zu zählen. Bitte nehmen Sie nicht nutzbare Stellplätze bei der Bestandsaufnahme mit</t>
  </si>
  <si>
    <t xml:space="preserve">       auf und geben sie diese in der Bestandseingabe in das entsprechendes Eingabefeld ein. Die Summe dieser Stellplätze erscheint auch im Kurzbericht.</t>
  </si>
  <si>
    <r>
      <rPr>
        <b/>
        <sz val="14"/>
        <color theme="1"/>
        <rFont val="Calibri"/>
        <family val="2"/>
        <scheme val="minor"/>
      </rPr>
      <t>Anzahl Wildparker</t>
    </r>
    <r>
      <rPr>
        <sz val="11"/>
        <color theme="1"/>
        <rFont val="Calibri"/>
        <family val="2"/>
        <scheme val="minor"/>
      </rPr>
      <t xml:space="preserve"> :</t>
    </r>
  </si>
  <si>
    <t>Anzahl nicht
nutzbarer
Stellplätze:</t>
  </si>
  <si>
    <t>ni-nutz</t>
  </si>
  <si>
    <t>Wildparker / ni-nuzt</t>
  </si>
  <si>
    <t>Nicht nutzbare Stellplätze</t>
  </si>
  <si>
    <r>
      <t>v3.2</t>
    </r>
    <r>
      <rPr>
        <sz val="10"/>
        <color theme="2"/>
        <rFont val="Calibri"/>
        <family val="2"/>
        <scheme val="minor"/>
      </rPr>
      <t xml:space="preserve"> (17.04.2023)</t>
    </r>
  </si>
  <si>
    <r>
      <t xml:space="preserve">  ▪   Alle nicht in vorhandenen Radabstellanlagen abgestellten Fahrräder gelten dieser Bedarfsberechnung nach als </t>
    </r>
    <r>
      <rPr>
        <b/>
        <sz val="11"/>
        <color theme="1"/>
        <rFont val="Calibri"/>
        <family val="2"/>
        <scheme val="minor"/>
      </rPr>
      <t>Wildparker</t>
    </r>
    <r>
      <rPr>
        <sz val="11"/>
        <color theme="1"/>
        <rFont val="Calibri"/>
        <family val="2"/>
        <scheme val="minor"/>
      </rPr>
      <t>. Dies müssen nicht zwingend nur an z.B. Dachstützen oder Lichtmasten</t>
    </r>
  </si>
  <si>
    <t xml:space="preserve">       abgestellte Räder sein, sondern können auch bei einer Übernutzung vorkommen, d.h. wenn auf einem vorgesehenen Stellplatz zwei oder mehr Fahrräder stehen. Beispiele hierfür sind Räder,</t>
  </si>
  <si>
    <t xml:space="preserve">       die sich "dazwischen quetschen" oder Paaranschließungen (ein Rad ist an einem anderen Rad angeschlossen). Generell gilt: je gebauten Stellplatz ist nur ein Rad als "abgestellt" zu zählen,</t>
  </si>
  <si>
    <t xml:space="preserve">       alle anderen Räder fallen in die Kategorie Wildparker.</t>
  </si>
  <si>
    <r>
      <t xml:space="preserve">  ▪   Bitte geben Sie beim Bestand an Radabstellanlagen immer die </t>
    </r>
    <r>
      <rPr>
        <b/>
        <sz val="11"/>
        <color theme="1"/>
        <rFont val="Calibri"/>
        <family val="2"/>
        <scheme val="minor"/>
      </rPr>
      <t>Anzahl der nutzbaren Stellplätze</t>
    </r>
    <r>
      <rPr>
        <sz val="11"/>
        <color theme="1"/>
        <rFont val="Calibri"/>
        <family val="2"/>
        <scheme val="minor"/>
      </rPr>
      <t xml:space="preserve"> ein (z.B. hat ein Anlehnbügel i.d.R. 2 nutzbare Stellplätze).</t>
    </r>
  </si>
  <si>
    <r>
      <t xml:space="preserve">  ▪   </t>
    </r>
    <r>
      <rPr>
        <b/>
        <sz val="11"/>
        <rFont val="Calibri"/>
        <family val="2"/>
        <scheme val="minor"/>
      </rPr>
      <t>Nicht nutzbare Stellplätze</t>
    </r>
    <r>
      <rPr>
        <sz val="11"/>
        <rFont val="Calibri"/>
        <family val="2"/>
        <scheme val="minor"/>
      </rPr>
      <t xml:space="preserve"> (Definition siehe Reiter "Zählung Bestand") erfassen Sie bitte separat und tragen diese in das entsprechende Feld ein.</t>
    </r>
  </si>
  <si>
    <r>
      <t xml:space="preserve">  ▪   Der Eingabewert für "abgestellte Räder" darf nicht höher sein als die Anzahl der vorhandenen Stellplätze. Nicht in Radabstellanlagen stehende Räder sind </t>
    </r>
    <r>
      <rPr>
        <b/>
        <sz val="11"/>
        <color theme="1"/>
        <rFont val="Calibri"/>
        <family val="2"/>
        <scheme val="minor"/>
      </rPr>
      <t>Wildparker</t>
    </r>
    <r>
      <rPr>
        <sz val="11"/>
        <color theme="1"/>
        <rFont val="Calibri"/>
        <family val="2"/>
        <scheme val="minor"/>
      </rPr>
      <t>. Dies gilt auch bei</t>
    </r>
  </si>
  <si>
    <t xml:space="preserve">       Übernutzung einer Anlage. Bitte lesen Sie auch die Definition zu Wildparkern auf dem Reiter "Zählung Bestand".</t>
  </si>
  <si>
    <r>
      <t xml:space="preserve">  ▪   Die Kategorie "gesichert" ist </t>
    </r>
    <r>
      <rPr>
        <b/>
        <sz val="11"/>
        <color theme="1"/>
        <rFont val="Calibri"/>
        <family val="2"/>
        <scheme val="minor"/>
      </rPr>
      <t>immer</t>
    </r>
    <r>
      <rPr>
        <sz val="11"/>
        <color theme="1"/>
        <rFont val="Calibri"/>
        <family val="2"/>
        <scheme val="minor"/>
      </rPr>
      <t xml:space="preserve"> überdacht. Radboxen werden separat erfasst: bitte geben Sie die Anzahl vorhandener Boxen an und die Anzahl der vermieteten/genutzten Boxen.</t>
    </r>
  </si>
  <si>
    <t>Tabellenreiter "Zählung Bestand": Umbenennung Waisenräder zu "zurückgelassene Räder" und Ergänzung Verweis auf Arbeitspapier</t>
  </si>
  <si>
    <t>Tabellenreiter "Kurzbericht" ergänzt</t>
  </si>
  <si>
    <t>Tabellenreiter "Zählung Bestand": Ergänzung Definition Wildparker</t>
  </si>
  <si>
    <t>(Definition Wildparker: siehe Erläuterungen)</t>
  </si>
  <si>
    <r>
      <rPr>
        <b/>
        <i/>
        <sz val="13"/>
        <color theme="1"/>
        <rFont val="Calibri"/>
        <family val="2"/>
        <scheme val="minor"/>
      </rPr>
      <t>Bitte beachten</t>
    </r>
    <r>
      <rPr>
        <i/>
        <sz val="13"/>
        <color theme="1"/>
        <rFont val="Calibri"/>
        <family val="2"/>
        <scheme val="minor"/>
      </rPr>
      <t xml:space="preserve">: Schrotträder und zurückgelassene Räder (Definition siehe Erläuterungen) </t>
    </r>
    <r>
      <rPr>
        <b/>
        <i/>
        <sz val="13"/>
        <color theme="1"/>
        <rFont val="Calibri"/>
        <family val="2"/>
        <scheme val="minor"/>
      </rPr>
      <t>nicht</t>
    </r>
    <r>
      <rPr>
        <i/>
        <sz val="13"/>
        <color theme="1"/>
        <rFont val="Calibri"/>
        <family val="2"/>
        <scheme val="minor"/>
      </rPr>
      <t xml:space="preserve"> mitzählen.</t>
    </r>
  </si>
  <si>
    <r>
      <t xml:space="preserve">  ▪   Bitte zählen Sie bei Ihrer Bestandsaufnahme eventuell vorhandene offensichtliche </t>
    </r>
    <r>
      <rPr>
        <b/>
        <sz val="11"/>
        <color theme="1"/>
        <rFont val="Calibri"/>
        <family val="2"/>
        <scheme val="minor"/>
      </rPr>
      <t>Schrotträder</t>
    </r>
    <r>
      <rPr>
        <sz val="11"/>
        <color theme="1"/>
        <rFont val="Calibri"/>
        <family val="2"/>
        <scheme val="minor"/>
      </rPr>
      <t xml:space="preserve"> (nicht mehr fahrbare Räder) oder </t>
    </r>
    <r>
      <rPr>
        <b/>
        <sz val="11"/>
        <color theme="1"/>
        <rFont val="Calibri"/>
        <family val="2"/>
        <scheme val="minor"/>
      </rPr>
      <t>zurückgelassene Räder</t>
    </r>
    <r>
      <rPr>
        <sz val="11"/>
        <color theme="1"/>
        <rFont val="Calibri"/>
        <family val="2"/>
        <scheme val="minor"/>
      </rPr>
      <t xml:space="preserve"> (aufgegebene Räder) in den</t>
    </r>
  </si>
  <si>
    <r>
      <t xml:space="preserve">       Abstellanlagen oder im Bahnhofsumfeld </t>
    </r>
    <r>
      <rPr>
        <u/>
        <sz val="11"/>
        <rFont val="Calibri"/>
        <family val="2"/>
        <scheme val="minor"/>
      </rPr>
      <t>nicht</t>
    </r>
    <r>
      <rPr>
        <sz val="11"/>
        <rFont val="Calibri"/>
        <family val="2"/>
        <scheme val="minor"/>
      </rPr>
      <t xml:space="preserve"> mit, da dies das Ergebnis der Bedarfsermittlung verfälscht. Schrotträder und zurückgelassene Räder sollten regelmäßig markiert und rechtssicher</t>
    </r>
  </si>
  <si>
    <t xml:space="preserve">       entfernt werden, um unmittelbar das Stellplatzangebot zu erhöhen sowie die Verwahrlosung der Anlage und damit ein Nutzungshemmnis zu vermeiden. Weitere Informationen zu diesem</t>
  </si>
  <si>
    <t xml:space="preserve">       Thema finden Sie auf der Webseite der Infostelle Fahrradparken unter Fachinformationen: Studien und Leitfäden (ARBEITSPAPIER - Umgang mit Schrotträdern und zurückgelassenen Fahrrädern).</t>
  </si>
  <si>
    <t>Tabellenreiter "Bestandseingabe": Ergänzung von Hinweisen zur Definition Wildparker sowie Eingabemöglichkeit von Wetter und Anmerkungen zu Bestandsaufnahmen</t>
  </si>
  <si>
    <t>Wetter</t>
  </si>
  <si>
    <t>Anmerkung</t>
  </si>
  <si>
    <t>Definition siehe oben bzw. Reiter "Zählung Bestand"</t>
  </si>
  <si>
    <t>Anzahl Boxen | Anzahl vermietet/genutzt</t>
  </si>
  <si>
    <t>z.B. Seitenabstand zu gering</t>
  </si>
  <si>
    <t>1 m² je Stellplatz zzgl. 20 % Erschließungsfläche</t>
  </si>
  <si>
    <t>25 % Zuschlag auf alle oben ermittelten Flächen aufgrund höheren</t>
  </si>
  <si>
    <t>Anteils von Erschließungsflächen (Rampen, Treppen, Nebenräume etc.)</t>
  </si>
  <si>
    <t>eine Tür (B4) mit kleinem Zugangssystem (D1)</t>
  </si>
  <si>
    <t>Tabellenreiter "Kostenanalyse": Flächenverbrauch für Reihenbügelanlage auf 1m² erhöht</t>
  </si>
  <si>
    <t>Reihenbügelanlage (Hoch-Tief-Einsteller)</t>
  </si>
  <si>
    <t>erledigt</t>
  </si>
  <si>
    <r>
      <t xml:space="preserve">Offene Punkte, die noch der Bearbeitung bedürfen bzw. geklärt werden müssen, sind in der Spalte rechts definiert (Häkchen ist nicht gesetzt und </t>
    </r>
    <r>
      <rPr>
        <b/>
        <sz val="11"/>
        <color theme="9"/>
        <rFont val="Calibri"/>
        <family val="2"/>
        <scheme val="minor"/>
      </rPr>
      <t>Zelle ist rot</t>
    </r>
    <r>
      <rPr>
        <sz val="11"/>
        <color theme="1"/>
        <rFont val="Calibri"/>
        <family val="2"/>
        <scheme val="minor"/>
      </rPr>
      <t xml:space="preserve"> markiert). Sobald ein Punkt</t>
    </r>
  </si>
  <si>
    <r>
      <t xml:space="preserve">alle Punkte der Checkliste als "noch offen" definiert.      </t>
    </r>
    <r>
      <rPr>
        <i/>
        <sz val="11"/>
        <color theme="1"/>
        <rFont val="Calibri"/>
        <family val="2"/>
        <scheme val="minor"/>
      </rPr>
      <t xml:space="preserve">(Achtung! Wenn Sie mit </t>
    </r>
    <r>
      <rPr>
        <i/>
        <u/>
        <sz val="11"/>
        <color theme="1"/>
        <rFont val="Calibri"/>
        <family val="2"/>
        <scheme val="minor"/>
      </rPr>
      <t>Excel 2007</t>
    </r>
    <r>
      <rPr>
        <i/>
        <sz val="11"/>
        <color theme="1"/>
        <rFont val="Calibri"/>
        <family val="2"/>
        <scheme val="minor"/>
      </rPr>
      <t xml:space="preserve"> arbeiten, ist möglicherweise keine grüne Markierung sichtbar).</t>
    </r>
  </si>
  <si>
    <t>Tabellenreiter "Projektbeschreibung": gesetzter Checklisten-Haken bei "erledigt" ändert Zellenfarbe von rot zu grün / Erläuterungstext angepasst</t>
  </si>
  <si>
    <t>Tabellenreiter "Kurzbericht": Sonderstellplätze im Fahrradparkhaus werden nun angezeigt (Fehlerkorrektur)</t>
  </si>
  <si>
    <r>
      <t xml:space="preserve">erledigt ist, können Sie das Häkchen setzen (mit Klick darauf, </t>
    </r>
    <r>
      <rPr>
        <b/>
        <sz val="11"/>
        <color theme="7" tint="-0.249977111117893"/>
        <rFont val="Calibri"/>
        <family val="2"/>
        <scheme val="minor"/>
      </rPr>
      <t>Zelle wird grün</t>
    </r>
    <r>
      <rPr>
        <sz val="11"/>
        <color theme="1"/>
        <rFont val="Calibri"/>
        <family val="2"/>
        <scheme val="minor"/>
      </rPr>
      <t>). Sie können einen erledigten Punkt auch wieder als "noch offen" markieren (erneut mit Klick). Im Ausgangszustand sind</t>
    </r>
  </si>
  <si>
    <r>
      <t>v3.3</t>
    </r>
    <r>
      <rPr>
        <sz val="10"/>
        <color theme="2"/>
        <rFont val="Calibri"/>
        <family val="2"/>
        <scheme val="minor"/>
      </rPr>
      <t xml:space="preserve"> (28.04.2023)</t>
    </r>
  </si>
  <si>
    <t xml:space="preserve">  ▪   die Checklisten (Teile E1 und E2) sowie</t>
  </si>
  <si>
    <t xml:space="preserve">Neben dem Bau der – im lokalen Kontext – richtigen Fahrradabstellanlage, gibt es eine Reihe begleitender Maßnahmen, die den Erfolg einer Fahrradabstellanlage maßgeblich unterstützen können.    </t>
  </si>
  <si>
    <t>Die folgenden Fragen sollen dabei helfen, die lokale Situation unterschiedlicher, begleitender Rahmenbedingungen für die Fahrradabstellanlage zu ermitteln und dadurch ggf. Ansatzpunkte</t>
  </si>
  <si>
    <t>für unterstützende Maßnahmen zu identifizieren.</t>
  </si>
  <si>
    <r>
      <t xml:space="preserve">Bitte beachten Sie auch die </t>
    </r>
    <r>
      <rPr>
        <b/>
        <sz val="11"/>
        <color theme="1"/>
        <rFont val="Calibri"/>
        <family val="2"/>
        <scheme val="minor"/>
      </rPr>
      <t>Checkliste E1</t>
    </r>
    <r>
      <rPr>
        <sz val="11"/>
        <color theme="1"/>
        <rFont val="Calibri"/>
        <family val="2"/>
        <scheme val="minor"/>
      </rPr>
      <t>, die Sie bei der Projektbeschreibung und der Orientierung im Planungsprozess unterstützt.</t>
    </r>
  </si>
  <si>
    <r>
      <t xml:space="preserve">Bitte beachten Sie auch die </t>
    </r>
    <r>
      <rPr>
        <b/>
        <sz val="11"/>
        <color theme="1"/>
        <rFont val="Calibri"/>
        <family val="2"/>
        <scheme val="minor"/>
      </rPr>
      <t>Checkliste E2</t>
    </r>
    <r>
      <rPr>
        <sz val="11"/>
        <color theme="1"/>
        <rFont val="Calibri"/>
        <family val="2"/>
        <scheme val="minor"/>
      </rPr>
      <t>, in der Sie Begleitmaßnahmen identifizieren können, die den Erfolg einer Fahrradabstellanlage maßgeblich unterstützen können.</t>
    </r>
  </si>
  <si>
    <t>Druck / PDF: bitte nutzen Sie die Druckfunktion von Excel (im Menü oder Tastenkürzel Strg + P) – es wird nur die Checkliste unten ausgedruckt</t>
  </si>
  <si>
    <t>nicht relevant</t>
  </si>
  <si>
    <t>Radinfrastruktur / Erschließung / Erreichbarkeit</t>
  </si>
  <si>
    <t>Ist der Weg zur Anlage (nicht nur die Anlage selbst) gut beleuchtet?</t>
  </si>
  <si>
    <t>Ist der Weg zur Anlage frei von Angsträumen?</t>
  </si>
  <si>
    <t>Ist die B+R-Anlage auf kurzem Weg –  d.h. ohne Umwege – erreichbar?</t>
  </si>
  <si>
    <t>Kann die Querung stark befahrener Straßen im direkten Umfeld vermieden werden?</t>
  </si>
  <si>
    <t>Ist die Radverkehrsführung im direkten Anlagenumfeld gut erkennbar und verständlich?</t>
  </si>
  <si>
    <t>Gibt es Maßnahmen, um den Radverkehr im Zulauf zum Bahnhof flüssiger zu gestalten?</t>
  </si>
  <si>
    <r>
      <t xml:space="preserve">Ist die B+R-Anlage im ganzen Umfeld idealerweise ebenerdig oder aber mit gut befahrbaren Fahrradrampen (geringe Neigung, ausreichende Breite) oder guten Schieberinnen erreichbar? Nicht nur direkt an der Anlage?
</t>
    </r>
    <r>
      <rPr>
        <i/>
        <sz val="10.5"/>
        <color theme="1" tint="0.34998626667073579"/>
        <rFont val="Calibri"/>
        <family val="2"/>
        <scheme val="minor"/>
      </rPr>
      <t xml:space="preserve">      → Gut befahrbare Fahrradrampen haben eine Neigung zwischen 3-4 %.</t>
    </r>
  </si>
  <si>
    <r>
      <t xml:space="preserve">Ist die B+R-Anlage erreichbar, ohne Hauptzugangswege des Fußverkehrs zum Bahnhof zu kreuzen?
</t>
    </r>
    <r>
      <rPr>
        <i/>
        <sz val="10.5"/>
        <color theme="1" tint="0.34998626667073579"/>
        <rFont val="Calibri"/>
        <family val="2"/>
        <scheme val="minor"/>
      </rPr>
      <t xml:space="preserve">      → Wenn sich Radfahrende und Zufußgehende Flächen teilen müssen, kommt es häufig zu Konflikten und gefährlichen Situationen.</t>
    </r>
  </si>
  <si>
    <r>
      <rPr>
        <b/>
        <u/>
        <sz val="11"/>
        <rFont val="Calibri"/>
        <family val="2"/>
        <scheme val="minor"/>
      </rPr>
      <t>Zufahrt zum Bahnhof - großräumig</t>
    </r>
    <r>
      <rPr>
        <sz val="11"/>
        <rFont val="Calibri"/>
        <family val="2"/>
        <scheme val="minor"/>
      </rPr>
      <t xml:space="preserve">
</t>
    </r>
    <r>
      <rPr>
        <i/>
        <sz val="11"/>
        <rFont val="Calibri"/>
        <family val="2"/>
        <scheme val="minor"/>
      </rPr>
      <t>Hier geht es um die großräumige Anbindung/Erreichbarkeit des Bahnhofs mit dem Fahrrad und damit auch um die Integration
in das überörtliche und ggf. touristische Radwegenetz.</t>
    </r>
  </si>
  <si>
    <t>Gibt es direkt geführte Radwege zu den wichtigsten Siedlungs-, Arbeits- und Schulstandorten im Einzugsgebiet des Bahnhofs?</t>
  </si>
  <si>
    <t>Sind Radschnellwege und Radvorrangrouten – wenn vorhanden – eingebunden?</t>
  </si>
  <si>
    <t>Ist die großräumige Radverkehrsinfrastruktur qualitativ gut?</t>
  </si>
  <si>
    <r>
      <rPr>
        <b/>
        <u/>
        <sz val="11"/>
        <rFont val="Calibri"/>
        <family val="2"/>
        <scheme val="minor"/>
      </rPr>
      <t>Beschilderung / Wegweisung zur B+R-Anlage</t>
    </r>
    <r>
      <rPr>
        <sz val="11"/>
        <rFont val="Calibri"/>
        <family val="2"/>
        <scheme val="minor"/>
      </rPr>
      <t xml:space="preserve">
</t>
    </r>
    <r>
      <rPr>
        <i/>
        <sz val="11"/>
        <rFont val="Calibri"/>
        <family val="2"/>
        <scheme val="minor"/>
      </rPr>
      <t xml:space="preserve">Die Nutzer:innen von B+R-Anlagen sind mehrheitlich regelmäßige Nutzer:innen (Pendler:innen), die keine Wegweisung benötigen. Aber auch hier wechseln die Nutzer:innen über die Jahre. Neue Dauernutzer:innen können mit Hilfe der Wegweisung auf das Angebot aufmerksam gemacht werden. Zusätzlich können potenzielle und gelegentliche B+R-Nutzer:innen oder Tourist:innen mit der Beschilderung auf das Angebot aufmerksam gemacht werden.  </t>
    </r>
  </si>
  <si>
    <t>Ist die B+R-Anlage von allen Anfahrwegen zum Bahnhof aus gut sichtbar oder gut sichtbar ausgeschildert?</t>
  </si>
  <si>
    <t>Ist die kleinräumige Beschilderung einheitlich und damit eindeutig wiedererkennbar?</t>
  </si>
  <si>
    <t>Passt die kleinräumige Beschilderung zur regionalspezifischen Beschilderung, bzw. greift diese auf?</t>
  </si>
  <si>
    <t>Werden Bodenmarkierungen oder Piktogramme für die Wegweisung eingesetzt?</t>
  </si>
  <si>
    <r>
      <t xml:space="preserve">Ist der Einsatz eines digitalen Parkleitsystems sinnvoll?
</t>
    </r>
    <r>
      <rPr>
        <i/>
        <sz val="10.5"/>
        <color theme="1" tint="0.34998626667073579"/>
        <rFont val="Calibri"/>
        <family val="2"/>
        <scheme val="minor"/>
      </rPr>
      <t xml:space="preserve">      → Bei mehreren gut ausgelasteten B+R-Anlagen können die Nutzer:innen so zur passenden Anlage geleitet werden. Auch hier kann über die Einbindung der
      Auslastungsinformationen in eine digitale Plattform oder App die Planungssicherheit für die Nutzer:innen erhöht werden. </t>
    </r>
  </si>
  <si>
    <t>Marketing / Information / Kapazitätsmanagement / Image</t>
  </si>
  <si>
    <t>Push-Maßnahmen</t>
  </si>
  <si>
    <t xml:space="preserve">Stärkung Umweltverbund / Vernetzung </t>
  </si>
  <si>
    <t>Kapazitätsmanagement</t>
  </si>
  <si>
    <t>Image</t>
  </si>
  <si>
    <t>Diese Checkliste wurde von der PTV GmbH erstellt.</t>
  </si>
  <si>
    <t>Sind vorbereitende Marketingaktivitäten vor dem Bau der Anlage geplant?</t>
  </si>
  <si>
    <t>Sind regelmäßige Marketingaktivitäten nach Eröffnung der Anlage geplant?</t>
  </si>
  <si>
    <t>Ist die B+R-Anlage in einen Webauftritt der Kommune bzw. des Betreibers eingebunden?</t>
  </si>
  <si>
    <t>Gibt es eine übergeordnete Informations-/Marketingstrategie zum Radverkehr oder zum Umweltverbund in der das 
Thema B+R mit adressiert wird oder werden kann?</t>
  </si>
  <si>
    <t>Gibt es ein Reinigungskonzept für die Fahrradabstellanlage?</t>
  </si>
  <si>
    <r>
      <t xml:space="preserve">Werden Schrotträder/Waisenräder regelmäßig aus den Abstellanlagen entfernt (Schrottradmanagement)?
</t>
    </r>
    <r>
      <rPr>
        <i/>
        <sz val="10.5"/>
        <color theme="1" tint="0.34998626667073579"/>
        <rFont val="Calibri"/>
        <family val="2"/>
        <scheme val="minor"/>
      </rPr>
      <t xml:space="preserve">      → Schrottrad- und Waisenradmanagement ist ein wichtiges Element, um die Abstellkapazitäten zu managen und die Abstellanlage(n) aufzuwerten.</t>
    </r>
  </si>
  <si>
    <t>Werden Maßnahmen ergriffen, um die Aufenthaltsqualität am Bahnhof zu verbessern bei den Flächen, die ggf. durch verringertes wildes Parken frei werden?</t>
  </si>
  <si>
    <t>Werden P+R-Plätze zurückgebaut?</t>
  </si>
  <si>
    <r>
      <t xml:space="preserve">Gibt es ein Management des Pkw-Parkraums im Bahnhofsumfeld?
</t>
    </r>
    <r>
      <rPr>
        <i/>
        <sz val="10.5"/>
        <color theme="1" tint="0.34998626667073579"/>
        <rFont val="Calibri"/>
        <family val="2"/>
        <scheme val="minor"/>
      </rPr>
      <t xml:space="preserve">      → Hier ist die Bereitstellung und Bepreisung von Pkw-Parkplätzen im öffentlichen Raum (außerhalb von P+R-Anlagen) gemeint.</t>
    </r>
  </si>
  <si>
    <r>
      <t xml:space="preserve">Ist das B+R-Angebot günstiger als das P+R-Angebot?
</t>
    </r>
    <r>
      <rPr>
        <i/>
        <sz val="10.5"/>
        <color theme="1" tint="0.34998626667073579"/>
        <rFont val="Calibri"/>
        <family val="2"/>
        <scheme val="minor"/>
      </rPr>
      <t xml:space="preserve">      → Wenn vorhandene P+R-Angebote kostenlos oder günstiger als das B+R-Angebot bereitgestellt werden, führt das häufig zu Akzeptanzproblemen bei der B+R-Anlage. </t>
    </r>
  </si>
  <si>
    <r>
      <t xml:space="preserve">Gibt es verkehrsberuhigende Maßnahmen für den MIV im Umfeld des Bahnhofs oder der ganzen Kommune?
</t>
    </r>
    <r>
      <rPr>
        <i/>
        <sz val="10.5"/>
        <color theme="1" tint="0.34998626667073579"/>
        <rFont val="Calibri"/>
        <family val="2"/>
        <scheme val="minor"/>
      </rPr>
      <t xml:space="preserve">      → Derartige Maßnahmen können auch den Effekt haben, den  Radverkehr im Vergleich zu vorher sicherer zu machen und relativ zu verflüssigen:
      Sie sind somit gleichzeitig auch Pull-Maßnahmen für den Radverkehr. </t>
    </r>
  </si>
  <si>
    <t>Wird/werden die Fahrradabstellanlage(n) als Teil eines übergeordneten (dezentralen) Stellplatzkonzeptes betrachtet?</t>
  </si>
  <si>
    <t>Gibt es eine integrierte Betrachtung von Fahrradrouten, ÖPNV-Stationen und Fahrradabstellanlagen in der Kommune?</t>
  </si>
  <si>
    <t>Ist eine Angebotsverbesserung im ÖV geplant?</t>
  </si>
  <si>
    <r>
      <t xml:space="preserve">Kann der B+R-Platz digital gebucht und bezahlt werden?
</t>
    </r>
    <r>
      <rPr>
        <i/>
        <sz val="10.5"/>
        <color theme="1" tint="0.34998626667073579"/>
        <rFont val="Calibri"/>
        <family val="2"/>
        <scheme val="minor"/>
      </rPr>
      <t xml:space="preserve">      → Idealerweise ist die Buchung in eine Plattform integriert, über die auch andere Mobilitätsangebote gebucht werden können.</t>
    </r>
  </si>
  <si>
    <r>
      <t xml:space="preserve">Gibt es eine Integration in den ÖPNV-Tarif?
</t>
    </r>
    <r>
      <rPr>
        <i/>
        <sz val="10.5"/>
        <color theme="1" tint="0.34998626667073579"/>
        <rFont val="Calibri"/>
        <family val="2"/>
        <scheme val="minor"/>
      </rPr>
      <t xml:space="preserve">      → Wenn das B+R-Angebot kostenpflichtig ist, kann es sinnvoll sein, dieses in den ÖPNV-Tarif zu integrieren, um die Zugangshürde zur Nutzung des Angebotes zu senken.</t>
    </r>
  </si>
  <si>
    <t>Sind touristische Radwege und Destinationen – wenn vorhanden – eingebunden?</t>
  </si>
  <si>
    <t>Ist der Bahnhof bzw. die Fahrradabstellanlage in die großräumige Radwegweisung integriert?</t>
  </si>
  <si>
    <r>
      <t xml:space="preserve">Ist der Einsatz von digitalen Anzeigetafeln mit Echtzeit-Anzeige der Stellplatzauslastung zur Ergänzung der Wegweisung sinnvoll?
</t>
    </r>
    <r>
      <rPr>
        <i/>
        <sz val="10.5"/>
        <color theme="1" tint="0.34998626667073579"/>
        <rFont val="Calibri"/>
        <family val="2"/>
        <scheme val="minor"/>
      </rPr>
      <t xml:space="preserve">      → Bei gut ausgelasteten Anlagen kann eine digitale Anzeige der aktuellen Auslastung sinnvoll sein. Der Einsatz solcher Anzeigesysteme bietet sich insb. für
      große Anlagen (min 1.000 Stellplätze an). Über eine zusätzliche Einbindung der Auslastungsinformationen in eine digitale Plattform oder App kann zudem die
      Planungssicherheit für die Nutzer:innen erhöht werden. </t>
    </r>
  </si>
  <si>
    <t>Sind begleitende Marketingaktivitäten zur Eröffnung der Anlage geplant?</t>
  </si>
  <si>
    <t>Sind die P+R-Anlagen weiter entfernt von den Bahnsteigen als die B+R-Anlagen?</t>
  </si>
  <si>
    <t>UMFELD</t>
  </si>
  <si>
    <t>Angsträume</t>
  </si>
  <si>
    <t>Ebenerdig / Rampen</t>
  </si>
  <si>
    <t>Kurze Erreichbarkeit</t>
  </si>
  <si>
    <t>Kreuzungsfreie Erreichbarkeit</t>
  </si>
  <si>
    <t>Querungsvermeidung</t>
  </si>
  <si>
    <t>Radverkehrsführung</t>
  </si>
  <si>
    <t>ZUFAHRT HAUPTEINZUG</t>
  </si>
  <si>
    <t>Gute Erreichbarkeit</t>
  </si>
  <si>
    <t>Flüssiger Zulauf</t>
  </si>
  <si>
    <t>Sichere Kreuzungen</t>
  </si>
  <si>
    <t>Unfallschwerpunkte</t>
  </si>
  <si>
    <t>ZUFAHRT GROẞRÄUMIG</t>
  </si>
  <si>
    <t>Ragschnellwege</t>
  </si>
  <si>
    <t>Touristische Radwege</t>
  </si>
  <si>
    <t>Gute Infrastruktur</t>
  </si>
  <si>
    <t>BESCHILDERUNG</t>
  </si>
  <si>
    <t>Integration in Radwegweisung</t>
  </si>
  <si>
    <t>sichtbare Ausschilderung</t>
  </si>
  <si>
    <t>einheitliche Beschilderung</t>
  </si>
  <si>
    <t>Passt Beschiderung zu Region</t>
  </si>
  <si>
    <t>Bodenmarkierungen/Piktogramme</t>
  </si>
  <si>
    <t>Digitale Anzeigetafeln</t>
  </si>
  <si>
    <t>Digitales Parkleitsystem</t>
  </si>
  <si>
    <t>MARKETING</t>
  </si>
  <si>
    <t>Marketingstrategie</t>
  </si>
  <si>
    <t>Marketing vorbereitend</t>
  </si>
  <si>
    <t>Markting begleitend</t>
  </si>
  <si>
    <t>Marketing regelmäßig</t>
  </si>
  <si>
    <t>Webauftritt</t>
  </si>
  <si>
    <t>Intermodales Routing</t>
  </si>
  <si>
    <t>KAPA-MANAGEMENT</t>
  </si>
  <si>
    <t>Reinigungskonzept</t>
  </si>
  <si>
    <t>Schrottradmanagement</t>
  </si>
  <si>
    <t>IMAGE</t>
  </si>
  <si>
    <t>Verbesserung Aufenthaltsqualität</t>
  </si>
  <si>
    <t>PUSH</t>
  </si>
  <si>
    <t>P+R weiter als B+R</t>
  </si>
  <si>
    <t>B+R günstiger als P+R</t>
  </si>
  <si>
    <t>Rückbau P+R</t>
  </si>
  <si>
    <t>Parkraummanagement</t>
  </si>
  <si>
    <t>Verkehrsberuhigung</t>
  </si>
  <si>
    <t>STÄRKUNG UMWELTVERBUND</t>
  </si>
  <si>
    <t>Mobilitätsstation</t>
  </si>
  <si>
    <t>Stellplatzkonzept</t>
  </si>
  <si>
    <t>Integrierte Betrachtung</t>
  </si>
  <si>
    <t>Angebotsverbesserung ÖV</t>
  </si>
  <si>
    <t>Integration in ÖPNV-Tarif</t>
  </si>
  <si>
    <t>Digitale B+R-Buchung</t>
  </si>
  <si>
    <t xml:space="preserve">  ▪   In Teil E2 finden Sie eine Checkliste zu einer Reihe begleitender Maßnahmen, die den Erfolg einer Fahrradabstellanlage maßgeblich unterstützen können.</t>
  </si>
  <si>
    <r>
      <t xml:space="preserve">Bitte beachten Sie, dass eine </t>
    </r>
    <r>
      <rPr>
        <i/>
        <u/>
        <sz val="11"/>
        <color theme="6" tint="-0.499984740745262"/>
        <rFont val="Calibri"/>
        <family val="2"/>
        <scheme val="minor"/>
      </rPr>
      <t>PDF-Erstellung</t>
    </r>
    <r>
      <rPr>
        <i/>
        <sz val="11"/>
        <color theme="6" tint="-0.499984740745262"/>
        <rFont val="Calibri"/>
        <family val="2"/>
        <scheme val="minor"/>
      </rPr>
      <t xml:space="preserve"> von Ihrer Excel-Version bzw. lokalen Konfiguration abhängig ist; bei Fragen dazu wenden Sie sich bitte an Ihren IT-Verantwortlichen.</t>
    </r>
  </si>
  <si>
    <r>
      <rPr>
        <b/>
        <u/>
        <sz val="11"/>
        <rFont val="Calibri"/>
        <family val="2"/>
        <scheme val="minor"/>
      </rPr>
      <t>Marketing / Information</t>
    </r>
    <r>
      <rPr>
        <sz val="11"/>
        <rFont val="Calibri"/>
        <family val="2"/>
        <scheme val="minor"/>
      </rPr>
      <t xml:space="preserve">
</t>
    </r>
    <r>
      <rPr>
        <i/>
        <sz val="11"/>
        <rFont val="Calibri"/>
        <family val="2"/>
        <scheme val="minor"/>
      </rPr>
      <t>Marketing für B+R-Anlagen ist sehr wichtig und kann sehr vielfältig sein. Es kann Kampagnen mit rationalen und emotionalen Komponenten umfassen, konkrete Eigenwerbung an der Anlage, aber auch die direkte Ansprache von weiteren Akteuren wie IHK und großen Unternehmen, um Pendler:innen mit gezielten
Aktionen für das Umsteigen auf das Fahrrad zu gewinnen (betriebliches Mobilitätsmanagement) etc...</t>
    </r>
  </si>
  <si>
    <t>Wird/werden die Fahrradabstellanlage(n) als Kern einer Mobilitätsstation betrachtet? Mögliche zusätzliche Angebote: Bike-/ E-Scooter-/ Car-Sharing.</t>
  </si>
  <si>
    <t>Folgende Teile dieser Datei sind zum Ausdrucken bzw. für eine PDF-Erstellung optimiert, bitte wählen Sie selbst das gewünschte Format (A4/A3) in Ihren Druckoptionen:</t>
  </si>
  <si>
    <t>Mit Hilfe der Checkboxen in den drei rechten Spalten können Sie das Ergebnis Ihrer Beurteilung festhalten. Dazu können Sie ein entsprechendes Häkchen bei ja/nein/nicht relevant setzen,</t>
  </si>
  <si>
    <t>indem Sie auf das jeweilige Feld klicken. Mit einem erneuten Klick auf das gesetzte Häkchen, können Sie eine Frage als wieder offen markieren. Mehr als ein Häkchen je Frage führt</t>
  </si>
  <si>
    <r>
      <t xml:space="preserve">zu einer </t>
    </r>
    <r>
      <rPr>
        <b/>
        <sz val="11"/>
        <color theme="9" tint="-0.249977111117893"/>
        <rFont val="Calibri"/>
        <family val="2"/>
        <scheme val="minor"/>
      </rPr>
      <t>dunkelroten Markierung</t>
    </r>
    <r>
      <rPr>
        <sz val="11"/>
        <rFont val="Calibri"/>
        <family val="2"/>
        <scheme val="minor"/>
      </rPr>
      <t xml:space="preserve"> als Fehler.      </t>
    </r>
    <r>
      <rPr>
        <i/>
        <sz val="11"/>
        <rFont val="Calibri"/>
        <family val="2"/>
        <scheme val="minor"/>
      </rPr>
      <t xml:space="preserve">(Achtung! Wenn Sie mit </t>
    </r>
    <r>
      <rPr>
        <i/>
        <u/>
        <sz val="11"/>
        <rFont val="Calibri"/>
        <family val="2"/>
        <scheme val="minor"/>
      </rPr>
      <t>Excel 2007</t>
    </r>
    <r>
      <rPr>
        <i/>
        <sz val="11"/>
        <rFont val="Calibri"/>
        <family val="2"/>
        <scheme val="minor"/>
      </rPr>
      <t xml:space="preserve"> arbeiten, sind möglicherweise keine Farben sichtbar).</t>
    </r>
  </si>
  <si>
    <t>Hinweise zum Ausdruck (Formatwahl) ergänzt</t>
  </si>
  <si>
    <t xml:space="preserve">  ▪   In Teil E1 finden Sie eine Checkliste, die Sie bei Ihrer Projektplanung unterstützen kann; außerdem haben Sie die Möglichkeit Ihr Projekt näher zu beschreiben.</t>
  </si>
  <si>
    <t>Drucklayouts angepasst</t>
  </si>
  <si>
    <r>
      <t>v3.4</t>
    </r>
    <r>
      <rPr>
        <sz val="10"/>
        <color theme="2"/>
        <rFont val="Calibri"/>
        <family val="2"/>
        <scheme val="minor"/>
      </rPr>
      <t xml:space="preserve"> (02.11.2023)</t>
    </r>
  </si>
  <si>
    <r>
      <rPr>
        <b/>
        <u/>
        <sz val="11"/>
        <rFont val="Calibri"/>
        <family val="2"/>
        <scheme val="minor"/>
      </rPr>
      <t>Direktes Umfeld der B+R-Anlage</t>
    </r>
    <r>
      <rPr>
        <sz val="11"/>
        <rFont val="Calibri"/>
        <family val="2"/>
        <scheme val="minor"/>
      </rPr>
      <t xml:space="preserve">
</t>
    </r>
    <r>
      <rPr>
        <i/>
        <sz val="11"/>
        <rFont val="Calibri"/>
        <family val="2"/>
        <scheme val="minor"/>
      </rPr>
      <t>Hier geht es um die kleinräumige Erschließung der Fahrradabstellanlage mit dem Fahrrad, d.h. in bis zu 200 Meter Radius um die Anlage.</t>
    </r>
  </si>
  <si>
    <r>
      <rPr>
        <b/>
        <u/>
        <sz val="11"/>
        <rFont val="Calibri"/>
        <family val="2"/>
        <scheme val="minor"/>
      </rPr>
      <t>Zufahrt zum Bahnhof/Haltestelle - Haupteinzugsgebiet</t>
    </r>
    <r>
      <rPr>
        <sz val="11"/>
        <rFont val="Calibri"/>
        <family val="2"/>
        <scheme val="minor"/>
      </rPr>
      <t xml:space="preserve">
</t>
    </r>
    <r>
      <rPr>
        <i/>
        <sz val="11"/>
        <rFont val="Calibri"/>
        <family val="2"/>
        <scheme val="minor"/>
      </rPr>
      <t>Hier geht es um den Haupteinzugsbereich des Bahnhofs/der Fahrradabstellanlage mit dem Fahrrad (0,2-4 km Radius) und damit auch
um die Integration in das alltägliche Radwegenetz. Bei hohem Pedelec-Anteil kann der Haupteinzugsbereich größer sein.</t>
    </r>
  </si>
  <si>
    <r>
      <t>Ist der Bahnhof aus allen Richtungen mit guter Radinfrastruktur erreichbar?</t>
    </r>
    <r>
      <rPr>
        <sz val="1"/>
        <rFont val="Calibri"/>
        <family val="2"/>
        <scheme val="minor"/>
      </rPr>
      <t xml:space="preserve">
</t>
    </r>
    <r>
      <rPr>
        <i/>
        <sz val="10.5"/>
        <color theme="1" tint="0.34998626667073579"/>
        <rFont val="Calibri"/>
        <family val="2"/>
        <scheme val="minor"/>
      </rPr>
      <t xml:space="preserve">      → Eine gute Radinfrastruktur ist insbesondere:
            • durchgehend,
            • getrennt geführt von Kfz und Zufußgehenden oder eine Fahrradstraße bzw. im Mischverkehr geführter Radverkehr (NUR bei niedrigen Geschwindigkeiten!),
            • sicher und komfortabel (ausreichend breit, mit ebenem Belag ausgeführt, ausreichend beleuchtet, selbsterklärend ...),
            • einheitlich und leicht verständlich ausgeschildert (Wegweiser oder Piktogramme).
      Wichtig ist hier nicht nur, die bestehende Radinfrastruktur zum Bahnhof hinsichtlich ihrer Qualität zu beurteilen, sondern auch zu identifizieren, ob es Richtungen gibt, 
      aus denen die Zufahrt für Radfahrende zum Bahnhof – trotz potenzieller Nachfrage – sehr unattraktiv ist aufgrund mangelnder Radinfrastruktur.</t>
    </r>
  </si>
  <si>
    <r>
      <rPr>
        <sz val="11"/>
        <rFont val="Calibri"/>
        <family val="2"/>
        <scheme val="minor"/>
      </rPr>
      <t>Gibt es Hinweise auf Unfallschwerpunkte mit Radfahrenden auf den Fahrradzufahrten zum Bahnhof?</t>
    </r>
    <r>
      <rPr>
        <i/>
        <sz val="10.5"/>
        <color theme="1" tint="0.34998626667073579"/>
        <rFont val="Calibri"/>
        <family val="2"/>
        <scheme val="minor"/>
      </rPr>
      <t xml:space="preserve">
      → Hinweise hierzu können ggf. aus Unfallsteckkarten gewonnen werden (Auswertung über mehrere Jahre sinnvoll) oder über die Unfallanalysen der 
      örtlichen Unfallkommission.</t>
    </r>
  </si>
  <si>
    <r>
      <t xml:space="preserve">Sind die Kreuzungen auf den Fahrradzufahrten zum Bahnhof sicher und verständlich gestaltet?
</t>
    </r>
    <r>
      <rPr>
        <i/>
        <sz val="10.5"/>
        <color theme="1" tint="0.34998626667073579"/>
        <rFont val="Calibri"/>
        <family val="2"/>
        <scheme val="minor"/>
      </rPr>
      <t xml:space="preserve">      → Die Verkehrssicherheit von Radfahrenden ist grundsätzlich überall in der Kommune wichtig, also im gesamten Straßen-/Radwegenetz. Bei dieser Checkliste liegt der Fokus
      allerdings auf den Fahrradabstellanlagen am Bahnhof und deshalb speziell auf den (Haupt-)Zufahrten der Radfahrenden zu diesen.</t>
    </r>
  </si>
  <si>
    <t>Direkt geführte wichtige Radwege</t>
  </si>
  <si>
    <t>Tabellenreiter "Projektbeschreibung" umbenannt zu "E1 Checklisten"</t>
  </si>
  <si>
    <t>Tabellenreiter "E2 Checklisten" ergänzt</t>
  </si>
  <si>
    <t>Tabellenreiter "Kostenanalyse": Berechnungsfehler L2 korrigiert (Jahreskosten berechnen)</t>
  </si>
  <si>
    <t>Kontakt zu technischem Support aktualisiert</t>
  </si>
  <si>
    <t>mail@radparken.info</t>
  </si>
  <si>
    <t>Kontakt (Fehler/Feedback)</t>
  </si>
  <si>
    <t>Bei Fehlermeldungen bitte diese Datei an der Stelle speichern, an der ein Fehler aufgetreten ist. Die Datei und ggf. Screenshots des Fehlers dann bitte per E-Mail inkl. Fehlerbeschreibung an u.g. Mailadresse schicken.</t>
  </si>
  <si>
    <t>Logos Infostelle aktualisiert</t>
  </si>
  <si>
    <t xml:space="preserve">  ▪   Mit diesem Bedarfs- und Kostenrechner können Sie den Bedarf an optimalen Radabstellplätzen sowie die ungefähren Kosten für die bauliche Umsetzung ermitteln.</t>
  </si>
  <si>
    <t xml:space="preserve">  ▪   als auch differenziert nach den Entfernungen und ggf. Bahnhofsseiten/Zugängen (Erläuterung dazu siehe Grafik weiter unten auf dieser Seite).</t>
  </si>
  <si>
    <t xml:space="preserve">       Entfernungen, die der Nutzer zum Zugang (z.B. Bahnhofs- bzw. Bahnsteigzugang) überwinden muss. Mit zunehmender Entfernung sinkt die Bereitschaft, das Fahrrad in der Anlage abzustellen.</t>
  </si>
  <si>
    <t xml:space="preserve">  ▪   Es wird daher empfohlen, die Bestandsaufnahme (sowohl der Radabstellanlagen als auch der abgestellten Räder) gestaffelt nach Entfernung vom nächstgelegenen Zugang wie z.B.</t>
  </si>
  <si>
    <t xml:space="preserve">  ▪   Sie können Ihre erhobenen Daten für den gesamten Bahnhof/Haltepunkt eingeben.</t>
  </si>
  <si>
    <t xml:space="preserve">An einigen Bahnhöfen/Haltepunkten kann es vorkommen, dass im Zuge von z.B. Baumaßnahmen auf dem Bahnhofsvorplatz einzelne Stellplätze oder auch eine komplette Radabstellanlage </t>
  </si>
  <si>
    <t>Bahnhof / Projektstandort:</t>
  </si>
  <si>
    <t xml:space="preserve">            zu übertragen. Kontaktieren Sie uns in diesem Fall gerne und wir unterstützen Sie bei der Eingabe.</t>
  </si>
  <si>
    <t xml:space="preserve">  ▪   Der Bedarfs- und Kostenrechner wurde für Bahnhöfe/Haltepunkte entwickelt, kann aber auch für andere Projektstandorte, an denen Radparkinfrastruktur entstehen soll (z.B. an</t>
  </si>
  <si>
    <t xml:space="preserve">       ÖV-Knotenpunkten wie Busbahnhöfen etc.), eingesetzt werden.</t>
  </si>
  <si>
    <r>
      <t xml:space="preserve">       </t>
    </r>
    <r>
      <rPr>
        <sz val="11"/>
        <color theme="1" tint="0.499984740745262"/>
        <rFont val="Calibri"/>
        <family val="2"/>
        <scheme val="minor"/>
      </rPr>
      <t>▪</t>
    </r>
    <r>
      <rPr>
        <sz val="11"/>
        <color theme="1"/>
        <rFont val="Calibri"/>
        <family val="2"/>
        <scheme val="minor"/>
      </rPr>
      <t xml:space="preserve">   Bitte beachten Sie, dass der Bedarfs- und Kostenrechner nur für Bahnhöfe/Haltepunkte/Projektstandorte gedacht ist, an denen sich bereits abgestellte Fahrräder befinden.</t>
    </r>
  </si>
  <si>
    <r>
      <t xml:space="preserve">       </t>
    </r>
    <r>
      <rPr>
        <sz val="11"/>
        <color theme="1" tint="0.499984740745262"/>
        <rFont val="Calibri"/>
        <family val="2"/>
        <scheme val="minor"/>
      </rPr>
      <t>▪</t>
    </r>
    <r>
      <rPr>
        <sz val="11"/>
        <color theme="1"/>
        <rFont val="Calibri"/>
        <family val="2"/>
        <scheme val="minor"/>
      </rPr>
      <t xml:space="preserve">   Wenn Ihr Projektstandort nicht an einem Bahnhof/Haltepunkt liegt, sind die in diesem Bedarfs- und Kostenrechner verwendeten Begriffe und Konzepte sinngemäß auf Ihren Projektstandort</t>
    </r>
  </si>
  <si>
    <t xml:space="preserve">  ▪   In Teil A geben Sie – nach vorheriger Zählung vor Ort – Ihren Bestand an Radabstellanlagen und abgestellten Rädern am Bahnhof/Haltepunkt/Projektstandort ein.</t>
  </si>
  <si>
    <t xml:space="preserve">  ▪   In Teil B definieren Sie verschiedene Parameter für den Bahnhof/Haltepunkt/Projektstandort, z.B. die prognostizierte Änderung der Reisenden- oder Bevölkerungszahlen.</t>
  </si>
  <si>
    <t>Wenn Sich Ihr Projektstandort nicht an einem Bahnhof/Haltepunkt befindet, wenden Sie das dargestellte Schema sinngemäß für die örtlichen Gegebenheiten an.</t>
  </si>
  <si>
    <t xml:space="preserve">       die Anzahl der 1) in den Radabstellanlagen sowie 2) aller weiteren im Bahnhofsumfeld/Projektstandortumfeld abgestellten Räder.</t>
  </si>
  <si>
    <t>Bahnhof oder
Projektstandort</t>
  </si>
  <si>
    <t xml:space="preserve">  ▪   Für eine genauere Auswertung können Sie Ihre Bestandsaufnahme optional auch für zwei verschiedene Bahnhofsseiten (= Zugänge am Projektstandort) separat durchführen.</t>
  </si>
  <si>
    <t>Bahnhofsseite oder
Zugang (optional)</t>
  </si>
  <si>
    <t>Texte angepasst: Bahnhof/Haltepunkt erweitert um Projektstandort</t>
  </si>
  <si>
    <t>Bitte geben Sie unten Ihren Bestand an Radabstellanlagen und abgestellten Rädern am Bahnhof/Haltepunkt/Projektstandort ein.</t>
  </si>
  <si>
    <t>Bitte Bahnhof / Haltepunkt / Projektstandort benennen.</t>
  </si>
  <si>
    <r>
      <t>v3.5</t>
    </r>
    <r>
      <rPr>
        <sz val="10"/>
        <color theme="2"/>
        <rFont val="Calibri"/>
        <family val="2"/>
        <scheme val="minor"/>
      </rPr>
      <t xml:space="preserve"> (01.07.2024)</t>
    </r>
  </si>
  <si>
    <r>
      <t xml:space="preserve">Schema der Bestandsermittlung für Bahnhöfe/Haltepunkte sowie andere Projektstandorte   </t>
    </r>
    <r>
      <rPr>
        <sz val="11"/>
        <color theme="1"/>
        <rFont val="Calibri"/>
        <family val="2"/>
        <scheme val="minor"/>
      </rPr>
      <t>(letztere sind in der Grafik nicht explizit benannt)</t>
    </r>
  </si>
  <si>
    <t>Tabellenreiter "Kostenanalyse": Dopplung im Bereich K gelöscht und Nummerierung angepasst</t>
  </si>
  <si>
    <t xml:space="preserve">  ▪   Freitage, Tage vor Feiertagen und auch Zählungen während der Schulferien eignen sich nicht für eine aussagekräftige Bestandsermittlung. Des Weiteren sollten keine außergewöhnlichen</t>
  </si>
  <si>
    <t>Förderung höher als Herstellungskosten!</t>
  </si>
  <si>
    <r>
      <t xml:space="preserve">Auf dieser Seite können Sie Ihr Projekt näher beschreiben. Die Projektbeschreibung ist als </t>
    </r>
    <r>
      <rPr>
        <b/>
        <sz val="11"/>
        <color theme="1"/>
        <rFont val="Calibri"/>
        <family val="2"/>
        <scheme val="minor"/>
      </rPr>
      <t>Checkliste</t>
    </r>
    <r>
      <rPr>
        <sz val="11"/>
        <color theme="1"/>
        <rFont val="Calibri"/>
        <family val="2"/>
        <scheme val="minor"/>
      </rPr>
      <t xml:space="preserve"> aufgebaut: eine Vielzahl von zu beachtenden bzw. während des Planungsprozesses</t>
    </r>
  </si>
  <si>
    <r>
      <t xml:space="preserve">Ist die B+R-Anlage in ein (intermodales) Routing eingebunden?
</t>
    </r>
    <r>
      <rPr>
        <i/>
        <sz val="10.5"/>
        <color theme="1" tint="0.34998626667073579"/>
        <rFont val="Calibri"/>
        <family val="2"/>
        <scheme val="minor"/>
      </rPr>
      <t xml:space="preserve">      → Voraussetzung dafür ist, dass die Abstellanlage in digitalen Karten eingefügt ist, auf die die Routinganbieter wie Google, Komoot etc. zugreifen. </t>
    </r>
  </si>
  <si>
    <r>
      <t xml:space="preserve">Werden wild abgestellte Fahrräder im Bahnhofsumfeld regelmäßig entfernt?
</t>
    </r>
    <r>
      <rPr>
        <i/>
        <sz val="10.5"/>
        <color theme="1" tint="0.34998626667073579"/>
        <rFont val="Calibri"/>
        <family val="2"/>
        <scheme val="minor"/>
      </rPr>
      <t xml:space="preserve">      → Hiermit kann auch die Nutzung der bereitgestellten Abstellanlagen unterstützt werden.</t>
    </r>
  </si>
  <si>
    <t>Jährliche Kosten und Einnahmen</t>
  </si>
  <si>
    <r>
      <t xml:space="preserve">  ▪   Das vorliegende Planungstool Radparken erfordert mindestens Excel 2007 und hat die Versionsnummer  </t>
    </r>
    <r>
      <rPr>
        <b/>
        <sz val="11"/>
        <rFont val="Calibri"/>
        <family val="2"/>
        <scheme val="minor"/>
      </rPr>
      <t>3.6</t>
    </r>
    <r>
      <rPr>
        <sz val="11"/>
        <rFont val="Calibri"/>
        <family val="2"/>
        <scheme val="minor"/>
      </rPr>
      <t xml:space="preserve">  (Stand 08.01.2025). </t>
    </r>
    <r>
      <rPr>
        <i/>
        <sz val="10"/>
        <color theme="2"/>
        <rFont val="Calibri"/>
        <family val="2"/>
        <scheme val="minor"/>
      </rPr>
      <t>Changelog am Seitenende.</t>
    </r>
  </si>
  <si>
    <t>D3 Beleuchtung - eigene Bestandsdaten eingeben - Übernahme manueller m²</t>
  </si>
  <si>
    <t>sonstige Betriebskosten (€/m² pro Monat)</t>
  </si>
  <si>
    <r>
      <t>v3.6</t>
    </r>
    <r>
      <rPr>
        <sz val="10"/>
        <color theme="2"/>
        <rFont val="Calibri"/>
        <family val="2"/>
        <scheme val="minor"/>
      </rPr>
      <t xml:space="preserve"> (08.01.2025)</t>
    </r>
  </si>
  <si>
    <t>Tabellenreiter "Kostenanalyse": Einheitswerte für Anlehnbügel, Reihenbügelanlage, Doppelstockparker und Sonderstellplätze erhöht</t>
  </si>
  <si>
    <t>Tabellenreiter "Kostenanalyse": Einheitswerte für Seitenwände und Videoüberwachung angepasst</t>
  </si>
  <si>
    <t>Tabellenreiter "Kostenanalyse": bei Eingabe mit eigenen Bestandsdaten erfolgt in D3 Beleuchtung automatische Flächenübernahme aus B1/C1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</si>
</sst>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0\ &quot;€&quot;;[Red]\-#,##0\ &quot;€&quot;"/>
    <numFmt numFmtId="8" formatCode="#,##0.00\ &quot;€&quot;;[Red]\-#,##0.00\ &quot;€&quot;"/>
    <numFmt numFmtId="164" formatCode="#,##0_ ;[Red]\-#,##0\ "/>
    <numFmt numFmtId="165" formatCode="#,##0_ ;[Red]\-#,##0;;"/>
    <numFmt numFmtId="166" formatCode="0\ %"/>
    <numFmt numFmtId="167" formatCode="#,##0.0_ ;[Red]\-#,##0.0\ "/>
    <numFmt numFmtId="168" formatCode="0.0\ %"/>
    <numFmt numFmtId="169" formatCode="#,##0_ &quot;%&quot;;[Red]\-#,##0\ "/>
    <numFmt numFmtId="170" formatCode="0.000%"/>
    <numFmt numFmtId="171" formatCode="#,##0\ &quot;m²&quot;"/>
    <numFmt numFmtId="172" formatCode="#,##0\ &quot;€&quot;"/>
    <numFmt numFmtId="173" formatCode="0.00\ %"/>
    <numFmt numFmtId="174" formatCode="#,##0.0\ %"/>
    <numFmt numFmtId="175" formatCode="#,##0_ ;[Red]\-#,##0;"/>
    <numFmt numFmtId="176" formatCode="_-* #,##0_-;\-* #,##0_-;_-* &quot;-&quot;??_-;_-@_-"/>
  </numFmts>
  <fonts count="134">
    <font>
      <sz val="11"/>
      <color theme="1"/>
      <name val="Calibri"/>
      <family val="2"/>
      <scheme val="minor"/>
    </font>
    <font>
      <u/>
      <sz val="11"/>
      <color theme="1"/>
      <name val="Calibri"/>
      <family val="2"/>
      <scheme val="minor"/>
    </font>
    <font>
      <b/>
      <sz val="11"/>
      <color theme="1"/>
      <name val="Calibri"/>
      <family val="2"/>
      <scheme val="minor"/>
    </font>
    <font>
      <sz val="11"/>
      <color theme="0"/>
      <name val="Calibri"/>
      <family val="2"/>
      <scheme val="minor"/>
    </font>
    <font>
      <sz val="14"/>
      <color theme="1"/>
      <name val="Calibri"/>
      <family val="2"/>
      <scheme val="minor"/>
    </font>
    <font>
      <b/>
      <u/>
      <sz val="11"/>
      <color theme="1"/>
      <name val="Calibri"/>
      <family val="2"/>
      <scheme val="minor"/>
    </font>
    <font>
      <b/>
      <sz val="11"/>
      <color theme="7"/>
      <name val="Calibri"/>
      <family val="2"/>
      <scheme val="minor"/>
    </font>
    <font>
      <b/>
      <sz val="11"/>
      <color theme="8"/>
      <name val="Calibri"/>
      <family val="2"/>
      <scheme val="minor"/>
    </font>
    <font>
      <b/>
      <sz val="11"/>
      <name val="Calibri"/>
      <family val="2"/>
      <scheme val="minor"/>
    </font>
    <font>
      <b/>
      <sz val="14"/>
      <color theme="0"/>
      <name val="Calibri"/>
      <family val="2"/>
      <scheme val="minor"/>
    </font>
    <font>
      <i/>
      <sz val="10"/>
      <color theme="8" tint="-0.249977111117893"/>
      <name val="Calibri"/>
      <family val="2"/>
      <scheme val="minor"/>
    </font>
    <font>
      <b/>
      <u/>
      <sz val="11"/>
      <color theme="6" tint="-0.499984740745262"/>
      <name val="Calibri"/>
      <family val="2"/>
      <scheme val="minor"/>
    </font>
    <font>
      <b/>
      <sz val="11"/>
      <color theme="4"/>
      <name val="Calibri"/>
      <family val="2"/>
      <scheme val="minor"/>
    </font>
    <font>
      <sz val="11"/>
      <color theme="1"/>
      <name val="Calibri"/>
      <family val="2"/>
      <scheme val="minor"/>
    </font>
    <font>
      <i/>
      <sz val="10"/>
      <color theme="1"/>
      <name val="Calibri"/>
      <family val="2"/>
      <scheme val="minor"/>
    </font>
    <font>
      <sz val="11"/>
      <name val="Calibri"/>
      <family val="2"/>
      <scheme val="minor"/>
    </font>
    <font>
      <sz val="14"/>
      <color theme="0"/>
      <name val="Calibri"/>
      <family val="2"/>
      <scheme val="minor"/>
    </font>
    <font>
      <b/>
      <sz val="11"/>
      <color theme="7" tint="-0.249977111117893"/>
      <name val="Calibri"/>
      <family val="2"/>
      <scheme val="minor"/>
    </font>
    <font>
      <i/>
      <sz val="10"/>
      <color theme="9"/>
      <name val="Calibri"/>
      <family val="2"/>
      <scheme val="minor"/>
    </font>
    <font>
      <i/>
      <sz val="10"/>
      <color theme="6" tint="-0.249977111117893"/>
      <name val="Calibri"/>
      <family val="2"/>
      <scheme val="minor"/>
    </font>
    <font>
      <sz val="8"/>
      <color theme="1"/>
      <name val="Calibri"/>
      <family val="2"/>
      <scheme val="minor"/>
    </font>
    <font>
      <sz val="11"/>
      <color theme="4"/>
      <name val="Calibri"/>
      <family val="2"/>
      <scheme val="minor"/>
    </font>
    <font>
      <b/>
      <sz val="14"/>
      <color theme="7" tint="-0.249977111117893"/>
      <name val="Calibri"/>
      <family val="2"/>
      <scheme val="minor"/>
    </font>
    <font>
      <b/>
      <sz val="18"/>
      <color theme="8" tint="-0.249977111117893"/>
      <name val="Calibri"/>
      <family val="2"/>
      <scheme val="minor"/>
    </font>
    <font>
      <b/>
      <sz val="11"/>
      <color theme="8" tint="-0.249977111117893"/>
      <name val="Calibri"/>
      <family val="2"/>
      <scheme val="minor"/>
    </font>
    <font>
      <sz val="8"/>
      <name val="Calibri"/>
      <family val="2"/>
      <scheme val="minor"/>
    </font>
    <font>
      <i/>
      <sz val="10"/>
      <name val="Calibri"/>
      <family val="2"/>
      <scheme val="minor"/>
    </font>
    <font>
      <sz val="10"/>
      <name val="Calibri"/>
      <family val="2"/>
      <scheme val="minor"/>
    </font>
    <font>
      <sz val="10"/>
      <color theme="0"/>
      <name val="Calibri"/>
      <family val="2"/>
      <scheme val="minor"/>
    </font>
    <font>
      <sz val="12"/>
      <color theme="0"/>
      <name val="Calibri"/>
      <family val="2"/>
      <scheme val="minor"/>
    </font>
    <font>
      <b/>
      <sz val="11"/>
      <color theme="0"/>
      <name val="Calibri"/>
      <family val="2"/>
      <scheme val="minor"/>
    </font>
    <font>
      <i/>
      <sz val="10"/>
      <color theme="2" tint="-0.499984740745262"/>
      <name val="Calibri"/>
      <family val="2"/>
      <scheme val="minor"/>
    </font>
    <font>
      <sz val="11"/>
      <color theme="2"/>
      <name val="Calibri"/>
      <family val="2"/>
      <scheme val="minor"/>
    </font>
    <font>
      <i/>
      <sz val="11"/>
      <color theme="2"/>
      <name val="Calibri"/>
      <family val="2"/>
      <scheme val="minor"/>
    </font>
    <font>
      <u/>
      <sz val="11"/>
      <color theme="2"/>
      <name val="Calibri"/>
      <family val="2"/>
      <scheme val="minor"/>
    </font>
    <font>
      <b/>
      <sz val="11"/>
      <color theme="9"/>
      <name val="Calibri"/>
      <family val="2"/>
      <scheme val="minor"/>
    </font>
    <font>
      <b/>
      <sz val="11"/>
      <color theme="6" tint="-0.249977111117893"/>
      <name val="Calibri"/>
      <family val="2"/>
      <scheme val="minor"/>
    </font>
    <font>
      <i/>
      <sz val="10"/>
      <color theme="2" tint="-0.249977111117893"/>
      <name val="Calibri"/>
      <family val="2"/>
      <scheme val="minor"/>
    </font>
    <font>
      <i/>
      <sz val="11"/>
      <color theme="2" tint="-0.249977111117893"/>
      <name val="Calibri"/>
      <family val="2"/>
      <scheme val="minor"/>
    </font>
    <font>
      <b/>
      <sz val="8"/>
      <color theme="9" tint="0.39997558519241921"/>
      <name val="Calibri"/>
      <family val="2"/>
      <scheme val="minor"/>
    </font>
    <font>
      <b/>
      <sz val="11"/>
      <color theme="9" tint="0.39997558519241921"/>
      <name val="Calibri"/>
      <family val="2"/>
      <scheme val="minor"/>
    </font>
    <font>
      <b/>
      <i/>
      <sz val="11"/>
      <name val="Calibri"/>
      <family val="2"/>
      <scheme val="minor"/>
    </font>
    <font>
      <i/>
      <sz val="10"/>
      <color theme="2"/>
      <name val="Calibri"/>
      <family val="2"/>
      <scheme val="minor"/>
    </font>
    <font>
      <sz val="11"/>
      <color theme="9" tint="0.39997558519241921"/>
      <name val="Calibri"/>
      <family val="2"/>
      <scheme val="minor"/>
    </font>
    <font>
      <b/>
      <i/>
      <sz val="11"/>
      <color theme="2" tint="0.79998168889431442"/>
      <name val="Calibri"/>
      <family val="2"/>
      <scheme val="minor"/>
    </font>
    <font>
      <b/>
      <sz val="11"/>
      <color rgb="FFFF0000"/>
      <name val="Calibri"/>
      <family val="2"/>
      <scheme val="minor"/>
    </font>
    <font>
      <b/>
      <sz val="16"/>
      <color theme="0"/>
      <name val="Calibri"/>
      <family val="2"/>
      <scheme val="minor"/>
    </font>
    <font>
      <sz val="14"/>
      <name val="Calibri"/>
      <family val="2"/>
      <scheme val="minor"/>
    </font>
    <font>
      <b/>
      <sz val="14"/>
      <color theme="1"/>
      <name val="Calibri"/>
      <family val="2"/>
      <scheme val="minor"/>
    </font>
    <font>
      <b/>
      <sz val="10"/>
      <color theme="0"/>
      <name val="Calibri"/>
      <family val="2"/>
      <scheme val="minor"/>
    </font>
    <font>
      <b/>
      <sz val="12"/>
      <color theme="1"/>
      <name val="Calibri"/>
      <family val="2"/>
      <scheme val="minor"/>
    </font>
    <font>
      <b/>
      <sz val="10"/>
      <color theme="4"/>
      <name val="Calibri"/>
      <family val="2"/>
      <scheme val="minor"/>
    </font>
    <font>
      <sz val="10"/>
      <color theme="1"/>
      <name val="Calibri"/>
      <family val="2"/>
      <scheme val="minor"/>
    </font>
    <font>
      <b/>
      <sz val="10"/>
      <color theme="6" tint="-0.249977111117893"/>
      <name val="Calibri"/>
      <family val="2"/>
      <scheme val="minor"/>
    </font>
    <font>
      <i/>
      <sz val="10"/>
      <color theme="7" tint="-0.249977111117893"/>
      <name val="Calibri"/>
      <family val="2"/>
      <scheme val="minor"/>
    </font>
    <font>
      <sz val="12"/>
      <color theme="7" tint="-0.249977111117893"/>
      <name val="Calibri"/>
      <family val="2"/>
      <scheme val="minor"/>
    </font>
    <font>
      <i/>
      <sz val="10"/>
      <color theme="9" tint="0.39997558519241921"/>
      <name val="Calibri"/>
      <family val="2"/>
      <scheme val="minor"/>
    </font>
    <font>
      <b/>
      <i/>
      <sz val="11"/>
      <color theme="2" tint="-0.249977111117893"/>
      <name val="Calibri"/>
      <family val="2"/>
      <scheme val="minor"/>
    </font>
    <font>
      <i/>
      <sz val="11"/>
      <color theme="1"/>
      <name val="Calibri"/>
      <family val="2"/>
      <scheme val="minor"/>
    </font>
    <font>
      <sz val="16"/>
      <color theme="6" tint="-0.499984740745262"/>
      <name val="Calibri"/>
      <family val="2"/>
      <scheme val="minor"/>
    </font>
    <font>
      <b/>
      <sz val="11"/>
      <color theme="6" tint="-0.499984740745262"/>
      <name val="Calibri"/>
      <family val="2"/>
      <scheme val="minor"/>
    </font>
    <font>
      <i/>
      <u/>
      <sz val="11"/>
      <color theme="1"/>
      <name val="Calibri"/>
      <family val="2"/>
      <scheme val="minor"/>
    </font>
    <font>
      <b/>
      <i/>
      <sz val="10"/>
      <color theme="2"/>
      <name val="Calibri"/>
      <family val="2"/>
      <scheme val="minor"/>
    </font>
    <font>
      <u/>
      <sz val="11"/>
      <color theme="10"/>
      <name val="Calibri"/>
      <family val="2"/>
      <scheme val="minor"/>
    </font>
    <font>
      <i/>
      <u/>
      <sz val="10"/>
      <color theme="2"/>
      <name val="Calibri"/>
      <family val="2"/>
      <scheme val="minor"/>
    </font>
    <font>
      <i/>
      <sz val="11"/>
      <color theme="0"/>
      <name val="Calibri"/>
      <family val="2"/>
      <scheme val="minor"/>
    </font>
    <font>
      <b/>
      <i/>
      <sz val="11"/>
      <color theme="7"/>
      <name val="Calibri"/>
      <family val="2"/>
      <scheme val="minor"/>
    </font>
    <font>
      <b/>
      <i/>
      <sz val="11"/>
      <color theme="6" tint="-0.249977111117893"/>
      <name val="Calibri"/>
      <family val="2"/>
      <scheme val="minor"/>
    </font>
    <font>
      <b/>
      <i/>
      <sz val="11"/>
      <color theme="9"/>
      <name val="Calibri"/>
      <family val="2"/>
      <scheme val="minor"/>
    </font>
    <font>
      <sz val="11"/>
      <color theme="6" tint="-0.499984740745262"/>
      <name val="Calibri"/>
      <family val="2"/>
      <scheme val="minor"/>
    </font>
    <font>
      <i/>
      <sz val="11"/>
      <name val="Calibri"/>
      <family val="2"/>
      <scheme val="minor"/>
    </font>
    <font>
      <b/>
      <u/>
      <sz val="12"/>
      <color theme="1"/>
      <name val="Calibri"/>
      <family val="2"/>
      <scheme val="minor"/>
    </font>
    <font>
      <b/>
      <sz val="11"/>
      <color theme="2" tint="-0.249977111117893"/>
      <name val="Calibri"/>
      <family val="2"/>
      <scheme val="minor"/>
    </font>
    <font>
      <b/>
      <sz val="11"/>
      <color theme="3" tint="0.39997558519241921"/>
      <name val="Calibri"/>
      <family val="2"/>
      <scheme val="minor"/>
    </font>
    <font>
      <b/>
      <sz val="11"/>
      <color theme="3"/>
      <name val="Calibri"/>
      <family val="2"/>
      <scheme val="minor"/>
    </font>
    <font>
      <sz val="11"/>
      <color theme="3"/>
      <name val="Calibri"/>
      <family val="2"/>
      <scheme val="minor"/>
    </font>
    <font>
      <b/>
      <i/>
      <sz val="11"/>
      <color theme="3" tint="0.39997558519241921"/>
      <name val="Calibri"/>
      <family val="2"/>
      <scheme val="minor"/>
    </font>
    <font>
      <sz val="13"/>
      <name val="Calibri"/>
      <family val="2"/>
      <scheme val="minor"/>
    </font>
    <font>
      <sz val="12"/>
      <color theme="3"/>
      <name val="Calibri"/>
      <family val="2"/>
      <scheme val="minor"/>
    </font>
    <font>
      <i/>
      <sz val="11"/>
      <color theme="3"/>
      <name val="Calibri"/>
      <family val="2"/>
      <scheme val="minor"/>
    </font>
    <font>
      <i/>
      <sz val="10"/>
      <color theme="7" tint="-0.499984740745262"/>
      <name val="Calibri"/>
      <family val="2"/>
      <scheme val="minor"/>
    </font>
    <font>
      <sz val="11"/>
      <color theme="6" tint="-0.249977111117893"/>
      <name val="Calibri"/>
      <family val="2"/>
      <scheme val="minor"/>
    </font>
    <font>
      <i/>
      <sz val="11"/>
      <color theme="7" tint="-0.249977111117893"/>
      <name val="Calibri"/>
      <family val="2"/>
      <scheme val="minor"/>
    </font>
    <font>
      <sz val="11"/>
      <color theme="7" tint="-0.249977111117893"/>
      <name val="Calibri"/>
      <family val="2"/>
      <scheme val="minor"/>
    </font>
    <font>
      <sz val="11"/>
      <color theme="3" tint="0.39997558519241921"/>
      <name val="Calibri"/>
      <family val="2"/>
      <scheme val="minor"/>
    </font>
    <font>
      <u/>
      <sz val="11"/>
      <name val="Calibri"/>
      <family val="2"/>
      <scheme val="minor"/>
    </font>
    <font>
      <sz val="12"/>
      <color theme="1"/>
      <name val="Calibri"/>
      <family val="2"/>
      <scheme val="minor"/>
    </font>
    <font>
      <sz val="16"/>
      <color theme="1"/>
      <name val="Calibri"/>
      <family val="2"/>
      <scheme val="minor"/>
    </font>
    <font>
      <b/>
      <sz val="16"/>
      <color theme="1"/>
      <name val="Calibri"/>
      <family val="2"/>
      <scheme val="minor"/>
    </font>
    <font>
      <sz val="16"/>
      <name val="Calibri"/>
      <family val="2"/>
      <scheme val="minor"/>
    </font>
    <font>
      <b/>
      <sz val="16"/>
      <name val="Calibri"/>
      <family val="2"/>
      <scheme val="minor"/>
    </font>
    <font>
      <sz val="10"/>
      <color theme="2"/>
      <name val="Calibri"/>
      <family val="2"/>
      <scheme val="minor"/>
    </font>
    <font>
      <b/>
      <sz val="10"/>
      <color theme="2"/>
      <name val="Calibri"/>
      <family val="2"/>
      <scheme val="minor"/>
    </font>
    <font>
      <b/>
      <u/>
      <sz val="10"/>
      <color theme="2"/>
      <name val="Calibri"/>
      <family val="2"/>
      <scheme val="minor"/>
    </font>
    <font>
      <sz val="11"/>
      <color theme="2" tint="-0.249977111117893"/>
      <name val="Calibri"/>
      <family val="2"/>
      <scheme val="minor"/>
    </font>
    <font>
      <b/>
      <sz val="26"/>
      <color theme="0" tint="-4.9989318521683403E-2"/>
      <name val="Calibri"/>
      <family val="2"/>
      <scheme val="minor"/>
    </font>
    <font>
      <b/>
      <sz val="10.5"/>
      <color theme="2" tint="-0.249977111117893"/>
      <name val="Calibri"/>
      <family val="2"/>
      <scheme val="minor"/>
    </font>
    <font>
      <sz val="10.5"/>
      <name val="Calibri"/>
      <family val="2"/>
      <scheme val="minor"/>
    </font>
    <font>
      <sz val="10.5"/>
      <color theme="1"/>
      <name val="Calibri"/>
      <family val="2"/>
      <scheme val="minor"/>
    </font>
    <font>
      <b/>
      <sz val="10.5"/>
      <color theme="2" tint="-0.499984740745262"/>
      <name val="Calibri"/>
      <family val="2"/>
      <scheme val="minor"/>
    </font>
    <font>
      <vertAlign val="subscript"/>
      <sz val="11"/>
      <color theme="1"/>
      <name val="Calibri"/>
      <family val="2"/>
      <scheme val="minor"/>
    </font>
    <font>
      <b/>
      <sz val="11"/>
      <color theme="2" tint="-0.499984740745262"/>
      <name val="Calibri"/>
      <family val="2"/>
      <scheme val="minor"/>
    </font>
    <font>
      <sz val="14"/>
      <color theme="6" tint="-0.499984740745262"/>
      <name val="Calibri"/>
      <family val="2"/>
      <scheme val="minor"/>
    </font>
    <font>
      <b/>
      <sz val="14"/>
      <color theme="6" tint="-0.499984740745262"/>
      <name val="Calibri"/>
      <family val="2"/>
      <scheme val="minor"/>
    </font>
    <font>
      <sz val="13"/>
      <color theme="1"/>
      <name val="Calibri"/>
      <family val="2"/>
      <scheme val="minor"/>
    </font>
    <font>
      <i/>
      <sz val="11"/>
      <color theme="6" tint="-0.499984740745262"/>
      <name val="Calibri"/>
      <family val="2"/>
      <scheme val="minor"/>
    </font>
    <font>
      <i/>
      <u/>
      <sz val="11"/>
      <color theme="6" tint="-0.499984740745262"/>
      <name val="Calibri"/>
      <family val="2"/>
      <scheme val="minor"/>
    </font>
    <font>
      <b/>
      <sz val="13"/>
      <name val="Calibri"/>
      <family val="2"/>
      <scheme val="minor"/>
    </font>
    <font>
      <u/>
      <sz val="13"/>
      <color theme="1"/>
      <name val="Calibri"/>
      <family val="2"/>
      <scheme val="minor"/>
    </font>
    <font>
      <b/>
      <sz val="14"/>
      <name val="Calibri"/>
      <family val="2"/>
      <scheme val="minor"/>
    </font>
    <font>
      <sz val="12"/>
      <name val="Calibri"/>
      <family val="2"/>
      <scheme val="minor"/>
    </font>
    <font>
      <u/>
      <sz val="13"/>
      <name val="Calibri"/>
      <family val="2"/>
      <scheme val="minor"/>
    </font>
    <font>
      <b/>
      <sz val="13"/>
      <color theme="1"/>
      <name val="Calibri"/>
      <family val="2"/>
      <scheme val="minor"/>
    </font>
    <font>
      <i/>
      <sz val="13"/>
      <color theme="1"/>
      <name val="Calibri"/>
      <family val="2"/>
      <scheme val="minor"/>
    </font>
    <font>
      <b/>
      <sz val="10.5"/>
      <color theme="6" tint="-0.499984740745262"/>
      <name val="Calibri"/>
      <family val="2"/>
      <scheme val="minor"/>
    </font>
    <font>
      <b/>
      <i/>
      <sz val="10"/>
      <color theme="9"/>
      <name val="Calibri"/>
      <family val="2"/>
      <scheme val="minor"/>
    </font>
    <font>
      <i/>
      <u/>
      <sz val="10"/>
      <color theme="10"/>
      <name val="Calibri"/>
      <family val="2"/>
      <scheme val="minor"/>
    </font>
    <font>
      <sz val="11"/>
      <color theme="9" tint="-0.249977111117893"/>
      <name val="Calibri"/>
      <family val="2"/>
      <scheme val="minor"/>
    </font>
    <font>
      <b/>
      <sz val="11"/>
      <color theme="9" tint="-0.249977111117893"/>
      <name val="Calibri"/>
      <family val="2"/>
      <scheme val="minor"/>
    </font>
    <font>
      <b/>
      <sz val="11"/>
      <color rgb="FF00B0F0"/>
      <name val="Calibri"/>
      <family val="2"/>
      <scheme val="minor"/>
    </font>
    <font>
      <sz val="10"/>
      <color theme="3"/>
      <name val="Calibri"/>
      <family val="2"/>
      <scheme val="minor"/>
    </font>
    <font>
      <sz val="11"/>
      <color theme="3" tint="-0.249977111117893"/>
      <name val="Calibri"/>
      <family val="2"/>
      <scheme val="minor"/>
    </font>
    <font>
      <b/>
      <sz val="11"/>
      <color theme="3" tint="-0.249977111117893"/>
      <name val="Calibri"/>
      <family val="2"/>
      <scheme val="minor"/>
    </font>
    <font>
      <b/>
      <i/>
      <sz val="13"/>
      <color theme="1"/>
      <name val="Calibri"/>
      <family val="2"/>
      <scheme val="minor"/>
    </font>
    <font>
      <b/>
      <sz val="11"/>
      <color theme="3" tint="0.79998168889431442"/>
      <name val="Calibri"/>
      <family val="2"/>
      <scheme val="minor"/>
    </font>
    <font>
      <b/>
      <u/>
      <sz val="11"/>
      <name val="Calibri"/>
      <family val="2"/>
      <scheme val="minor"/>
    </font>
    <font>
      <sz val="1"/>
      <name val="Calibri"/>
      <family val="2"/>
      <scheme val="minor"/>
    </font>
    <font>
      <i/>
      <sz val="10.5"/>
      <color theme="1" tint="0.34998626667073579"/>
      <name val="Calibri"/>
      <family val="2"/>
      <scheme val="minor"/>
    </font>
    <font>
      <i/>
      <u/>
      <sz val="11"/>
      <name val="Calibri"/>
      <family val="2"/>
      <scheme val="minor"/>
    </font>
    <font>
      <sz val="11"/>
      <color theme="2" tint="-0.499984740745262"/>
      <name val="Calibri"/>
      <family val="2"/>
      <scheme val="minor"/>
    </font>
    <font>
      <sz val="11"/>
      <color theme="9"/>
      <name val="Calibri"/>
      <family val="2"/>
      <scheme val="minor"/>
    </font>
    <font>
      <sz val="11"/>
      <color theme="1" tint="0.499984740745262"/>
      <name val="Calibri"/>
      <family val="2"/>
      <scheme val="minor"/>
    </font>
    <font>
      <b/>
      <sz val="11"/>
      <color theme="2"/>
      <name val="Calibri"/>
      <family val="2"/>
      <scheme val="minor"/>
    </font>
    <font>
      <sz val="8"/>
      <color rgb="FF000000"/>
      <name val="Segoe UI"/>
      <charset val="1"/>
    </font>
  </fonts>
  <fills count="30">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6" tint="-0.249977111117893"/>
        <bgColor indexed="64"/>
      </patternFill>
    </fill>
    <fill>
      <patternFill patternType="solid">
        <fgColor theme="4"/>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tint="0.79998168889431442"/>
        <bgColor indexed="64"/>
      </patternFill>
    </fill>
    <fill>
      <patternFill patternType="solid">
        <fgColor theme="2" tint="0.59999389629810485"/>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2" tint="0.39997558519241921"/>
        <bgColor indexed="64"/>
      </patternFill>
    </fill>
    <fill>
      <patternFill patternType="solid">
        <fgColor theme="9" tint="0.39997558519241921"/>
        <bgColor indexed="64"/>
      </patternFill>
    </fill>
    <fill>
      <patternFill patternType="solid">
        <fgColor theme="7"/>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39997558519241921"/>
        <bgColor indexed="64"/>
      </patternFill>
    </fill>
    <fill>
      <patternFill patternType="solid">
        <fgColor rgb="FF7030A0"/>
        <bgColor indexed="64"/>
      </patternFill>
    </fill>
    <fill>
      <patternFill patternType="solid">
        <fgColor theme="9"/>
        <bgColor indexed="64"/>
      </patternFill>
    </fill>
    <fill>
      <patternFill patternType="solid">
        <fgColor theme="6"/>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6" tint="0.59999389629810485"/>
        <bgColor indexed="64"/>
      </patternFill>
    </fill>
    <fill>
      <patternFill patternType="solid">
        <fgColor theme="3"/>
        <bgColor indexed="64"/>
      </patternFill>
    </fill>
    <fill>
      <patternFill patternType="solid">
        <fgColor theme="7" tint="-0.249977111117893"/>
        <bgColor indexed="64"/>
      </patternFill>
    </fill>
    <fill>
      <patternFill patternType="solid">
        <fgColor theme="1"/>
        <bgColor indexed="64"/>
      </patternFill>
    </fill>
    <fill>
      <patternFill patternType="solid">
        <fgColor theme="0" tint="-0.34998626667073579"/>
        <bgColor indexed="64"/>
      </patternFill>
    </fill>
  </fills>
  <borders count="514">
    <border>
      <left/>
      <right/>
      <top/>
      <bottom/>
      <diagonal/>
    </border>
    <border>
      <left style="medium">
        <color theme="6" tint="-0.249977111117893"/>
      </left>
      <right/>
      <top style="medium">
        <color theme="6" tint="-0.249977111117893"/>
      </top>
      <bottom/>
      <diagonal/>
    </border>
    <border>
      <left/>
      <right/>
      <top style="medium">
        <color theme="6" tint="-0.249977111117893"/>
      </top>
      <bottom/>
      <diagonal/>
    </border>
    <border>
      <left/>
      <right style="medium">
        <color theme="6" tint="-0.249977111117893"/>
      </right>
      <top style="medium">
        <color theme="6" tint="-0.249977111117893"/>
      </top>
      <bottom/>
      <diagonal/>
    </border>
    <border>
      <left style="medium">
        <color theme="6" tint="-0.249977111117893"/>
      </left>
      <right/>
      <top/>
      <bottom/>
      <diagonal/>
    </border>
    <border>
      <left/>
      <right style="medium">
        <color theme="6" tint="-0.249977111117893"/>
      </right>
      <top/>
      <bottom/>
      <diagonal/>
    </border>
    <border>
      <left style="medium">
        <color theme="6" tint="-0.249977111117893"/>
      </left>
      <right/>
      <top/>
      <bottom style="medium">
        <color theme="6" tint="-0.249977111117893"/>
      </bottom>
      <diagonal/>
    </border>
    <border>
      <left/>
      <right/>
      <top/>
      <bottom style="medium">
        <color theme="6" tint="-0.249977111117893"/>
      </bottom>
      <diagonal/>
    </border>
    <border>
      <left/>
      <right style="medium">
        <color theme="6" tint="-0.249977111117893"/>
      </right>
      <top/>
      <bottom style="medium">
        <color theme="6" tint="-0.249977111117893"/>
      </bottom>
      <diagonal/>
    </border>
    <border>
      <left/>
      <right/>
      <top style="medium">
        <color theme="6" tint="-0.249977111117893"/>
      </top>
      <bottom style="medium">
        <color theme="6" tint="-0.249977111117893"/>
      </bottom>
      <diagonal/>
    </border>
    <border>
      <left style="medium">
        <color theme="2" tint="-0.249977111117893"/>
      </left>
      <right/>
      <top style="medium">
        <color theme="2" tint="-0.249977111117893"/>
      </top>
      <bottom style="medium">
        <color theme="2" tint="-0.249977111117893"/>
      </bottom>
      <diagonal/>
    </border>
    <border>
      <left/>
      <right/>
      <top style="medium">
        <color theme="2" tint="-0.249977111117893"/>
      </top>
      <bottom style="medium">
        <color theme="2" tint="-0.249977111117893"/>
      </bottom>
      <diagonal/>
    </border>
    <border>
      <left style="thin">
        <color theme="7" tint="-0.249977111117893"/>
      </left>
      <right style="thin">
        <color theme="7" tint="-0.249977111117893"/>
      </right>
      <top style="thin">
        <color theme="7" tint="-0.249977111117893"/>
      </top>
      <bottom style="thin">
        <color theme="7" tint="-0.249977111117893"/>
      </bottom>
      <diagonal/>
    </border>
    <border>
      <left/>
      <right style="thin">
        <color theme="7" tint="-0.249977111117893"/>
      </right>
      <top/>
      <bottom style="thin">
        <color theme="7" tint="-0.249977111117893"/>
      </bottom>
      <diagonal/>
    </border>
    <border>
      <left/>
      <right/>
      <top/>
      <bottom style="thin">
        <color theme="7" tint="-0.249977111117893"/>
      </bottom>
      <diagonal/>
    </border>
    <border>
      <left/>
      <right style="thin">
        <color theme="7" tint="-0.249977111117893"/>
      </right>
      <top/>
      <bottom/>
      <diagonal/>
    </border>
    <border>
      <left/>
      <right style="thin">
        <color theme="7" tint="-0.249977111117893"/>
      </right>
      <top style="thin">
        <color theme="7" tint="-0.249977111117893"/>
      </top>
      <bottom style="thin">
        <color theme="7" tint="-0.249977111117893"/>
      </bottom>
      <diagonal/>
    </border>
    <border>
      <left style="thin">
        <color theme="7" tint="-0.249977111117893"/>
      </left>
      <right style="dashed">
        <color theme="7" tint="0.39997558519241921"/>
      </right>
      <top style="thin">
        <color theme="7" tint="-0.249977111117893"/>
      </top>
      <bottom style="thin">
        <color theme="7" tint="-0.249977111117893"/>
      </bottom>
      <diagonal/>
    </border>
    <border>
      <left/>
      <right/>
      <top/>
      <bottom style="thin">
        <color theme="2" tint="-0.249977111117893"/>
      </bottom>
      <diagonal/>
    </border>
    <border>
      <left/>
      <right style="medium">
        <color theme="6" tint="-0.249977111117893"/>
      </right>
      <top/>
      <bottom style="thin">
        <color theme="2" tint="-0.249977111117893"/>
      </bottom>
      <diagonal/>
    </border>
    <border>
      <left style="medium">
        <color theme="6" tint="-0.249977111117893"/>
      </left>
      <right/>
      <top/>
      <bottom style="thin">
        <color theme="2" tint="-0.249977111117893"/>
      </bottom>
      <diagonal/>
    </border>
    <border>
      <left/>
      <right style="medium">
        <color theme="2" tint="-0.249977111117893"/>
      </right>
      <top/>
      <bottom/>
      <diagonal/>
    </border>
    <border>
      <left/>
      <right style="medium">
        <color theme="2" tint="-0.249977111117893"/>
      </right>
      <top/>
      <bottom style="thin">
        <color theme="2" tint="-0.249977111117893"/>
      </bottom>
      <diagonal/>
    </border>
    <border>
      <left/>
      <right style="medium">
        <color theme="2" tint="-0.249977111117893"/>
      </right>
      <top/>
      <bottom style="medium">
        <color theme="6" tint="-0.249977111117893"/>
      </bottom>
      <diagonal/>
    </border>
    <border>
      <left style="medium">
        <color theme="6" tint="-0.249977111117893"/>
      </left>
      <right/>
      <top style="thin">
        <color theme="2" tint="-0.249977111117893"/>
      </top>
      <bottom/>
      <diagonal/>
    </border>
    <border>
      <left style="thin">
        <color theme="7" tint="-0.249977111117893"/>
      </left>
      <right/>
      <top/>
      <bottom style="thin">
        <color theme="7" tint="-0.249977111117893"/>
      </bottom>
      <diagonal/>
    </border>
    <border>
      <left style="thin">
        <color theme="4" tint="-0.249977111117893"/>
      </left>
      <right style="thin">
        <color theme="4" tint="-0.249977111117893"/>
      </right>
      <top/>
      <bottom style="thin">
        <color theme="4" tint="-0.249977111117893"/>
      </bottom>
      <diagonal/>
    </border>
    <border>
      <left/>
      <right style="thin">
        <color theme="4" tint="-0.249977111117893"/>
      </right>
      <top/>
      <bottom style="thin">
        <color theme="4" tint="-0.249977111117893"/>
      </bottom>
      <diagonal/>
    </border>
    <border>
      <left style="thin">
        <color theme="4" tint="-0.249977111117893"/>
      </left>
      <right/>
      <top style="thin">
        <color theme="4" tint="-0.249977111117893"/>
      </top>
      <bottom style="thin">
        <color theme="4" tint="-0.249977111117893"/>
      </bottom>
      <diagonal/>
    </border>
    <border>
      <left/>
      <right style="thin">
        <color theme="4" tint="-0.249977111117893"/>
      </right>
      <top style="thin">
        <color theme="4" tint="-0.249977111117893"/>
      </top>
      <bottom style="thin">
        <color theme="4" tint="-0.249977111117893"/>
      </bottom>
      <diagonal/>
    </border>
    <border>
      <left style="medium">
        <color theme="4" tint="-0.249977111117893"/>
      </left>
      <right/>
      <top style="medium">
        <color theme="4" tint="-0.249977111117893"/>
      </top>
      <bottom/>
      <diagonal/>
    </border>
    <border>
      <left/>
      <right/>
      <top style="medium">
        <color theme="4" tint="-0.249977111117893"/>
      </top>
      <bottom/>
      <diagonal/>
    </border>
    <border>
      <left style="thin">
        <color theme="4" tint="-0.249977111117893"/>
      </left>
      <right/>
      <top style="medium">
        <color theme="4" tint="-0.249977111117893"/>
      </top>
      <bottom style="thin">
        <color theme="4" tint="-0.249977111117893"/>
      </bottom>
      <diagonal/>
    </border>
    <border>
      <left/>
      <right/>
      <top style="medium">
        <color theme="4" tint="-0.249977111117893"/>
      </top>
      <bottom style="thin">
        <color theme="4" tint="-0.249977111117893"/>
      </bottom>
      <diagonal/>
    </border>
    <border>
      <left/>
      <right style="thin">
        <color theme="4" tint="-0.249977111117893"/>
      </right>
      <top style="medium">
        <color theme="4" tint="-0.249977111117893"/>
      </top>
      <bottom style="thin">
        <color theme="4" tint="-0.249977111117893"/>
      </bottom>
      <diagonal/>
    </border>
    <border>
      <left/>
      <right style="medium">
        <color theme="4" tint="-0.249977111117893"/>
      </right>
      <top style="medium">
        <color theme="4" tint="-0.249977111117893"/>
      </top>
      <bottom/>
      <diagonal/>
    </border>
    <border>
      <left style="medium">
        <color theme="4" tint="-0.249977111117893"/>
      </left>
      <right/>
      <top/>
      <bottom style="thin">
        <color theme="4" tint="-0.249977111117893"/>
      </bottom>
      <diagonal/>
    </border>
    <border>
      <left/>
      <right style="medium">
        <color theme="4" tint="-0.249977111117893"/>
      </right>
      <top style="thin">
        <color theme="4" tint="-0.249977111117893"/>
      </top>
      <bottom style="thin">
        <color theme="4" tint="-0.249977111117893"/>
      </bottom>
      <diagonal/>
    </border>
    <border>
      <left style="medium">
        <color theme="4" tint="-0.249977111117893"/>
      </left>
      <right/>
      <top/>
      <bottom/>
      <diagonal/>
    </border>
    <border>
      <left/>
      <right style="medium">
        <color theme="4" tint="-0.249977111117893"/>
      </right>
      <top/>
      <bottom/>
      <diagonal/>
    </border>
    <border>
      <left style="medium">
        <color theme="4" tint="-0.249977111117893"/>
      </left>
      <right/>
      <top/>
      <bottom style="medium">
        <color theme="4" tint="-0.249977111117893"/>
      </bottom>
      <diagonal/>
    </border>
    <border>
      <left/>
      <right/>
      <top/>
      <bottom style="medium">
        <color theme="4" tint="-0.249977111117893"/>
      </bottom>
      <diagonal/>
    </border>
    <border>
      <left style="thin">
        <color theme="4" tint="-0.249977111117893"/>
      </left>
      <right style="thin">
        <color theme="4" tint="-0.249977111117893"/>
      </right>
      <top style="thin">
        <color theme="4" tint="-0.249977111117893"/>
      </top>
      <bottom style="medium">
        <color theme="4" tint="-0.249977111117893"/>
      </bottom>
      <diagonal/>
    </border>
    <border>
      <left/>
      <right style="medium">
        <color theme="4" tint="-0.249977111117893"/>
      </right>
      <top/>
      <bottom style="medium">
        <color theme="4" tint="-0.249977111117893"/>
      </bottom>
      <diagonal/>
    </border>
    <border>
      <left/>
      <right/>
      <top style="thin">
        <color theme="4" tint="-0.249977111117893"/>
      </top>
      <bottom style="thin">
        <color theme="4" tint="-0.249977111117893"/>
      </bottom>
      <diagonal/>
    </border>
    <border>
      <left/>
      <right style="thin">
        <color theme="4" tint="-0.249977111117893"/>
      </right>
      <top/>
      <bottom/>
      <diagonal/>
    </border>
    <border>
      <left/>
      <right style="medium">
        <color theme="4" tint="-0.249977111117893"/>
      </right>
      <top style="medium">
        <color theme="4" tint="-0.249977111117893"/>
      </top>
      <bottom style="thin">
        <color theme="4" tint="-0.249977111117893"/>
      </bottom>
      <diagonal/>
    </border>
    <border>
      <left style="medium">
        <color theme="4"/>
      </left>
      <right/>
      <top style="medium">
        <color theme="4"/>
      </top>
      <bottom/>
      <diagonal/>
    </border>
    <border>
      <left/>
      <right/>
      <top style="medium">
        <color theme="4"/>
      </top>
      <bottom/>
      <diagonal/>
    </border>
    <border>
      <left style="medium">
        <color theme="4"/>
      </left>
      <right/>
      <top/>
      <bottom/>
      <diagonal/>
    </border>
    <border>
      <left style="medium">
        <color theme="4"/>
      </left>
      <right/>
      <top/>
      <bottom style="medium">
        <color theme="4"/>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right/>
      <top style="thin">
        <color theme="4"/>
      </top>
      <bottom style="thin">
        <color theme="4"/>
      </bottom>
      <diagonal/>
    </border>
    <border>
      <left/>
      <right style="thin">
        <color theme="4"/>
      </right>
      <top/>
      <bottom/>
      <diagonal/>
    </border>
    <border>
      <left style="thin">
        <color theme="4"/>
      </left>
      <right style="medium">
        <color theme="4"/>
      </right>
      <top style="thin">
        <color theme="4"/>
      </top>
      <bottom style="thin">
        <color theme="4"/>
      </bottom>
      <diagonal/>
    </border>
    <border>
      <left/>
      <right style="thin">
        <color theme="4"/>
      </right>
      <top/>
      <bottom style="medium">
        <color theme="4"/>
      </bottom>
      <diagonal/>
    </border>
    <border>
      <left style="thin">
        <color theme="4"/>
      </left>
      <right/>
      <top style="thin">
        <color theme="4"/>
      </top>
      <bottom style="medium">
        <color theme="4"/>
      </bottom>
      <diagonal/>
    </border>
    <border>
      <left/>
      <right/>
      <top style="thin">
        <color theme="4"/>
      </top>
      <bottom style="medium">
        <color theme="4"/>
      </bottom>
      <diagonal/>
    </border>
    <border>
      <left/>
      <right style="thin">
        <color theme="4"/>
      </right>
      <top style="thin">
        <color theme="4"/>
      </top>
      <bottom style="medium">
        <color theme="4"/>
      </bottom>
      <diagonal/>
    </border>
    <border>
      <left style="thin">
        <color theme="4"/>
      </left>
      <right style="medium">
        <color theme="4"/>
      </right>
      <top style="thin">
        <color theme="4"/>
      </top>
      <bottom style="medium">
        <color theme="4"/>
      </bottom>
      <diagonal/>
    </border>
    <border>
      <left style="thin">
        <color theme="4"/>
      </left>
      <right style="medium">
        <color theme="4"/>
      </right>
      <top style="medium">
        <color theme="4"/>
      </top>
      <bottom style="thin">
        <color theme="4"/>
      </bottom>
      <diagonal/>
    </border>
    <border>
      <left style="thin">
        <color theme="4"/>
      </left>
      <right/>
      <top style="medium">
        <color theme="4"/>
      </top>
      <bottom style="thin">
        <color theme="4"/>
      </bottom>
      <diagonal/>
    </border>
    <border>
      <left/>
      <right/>
      <top style="medium">
        <color theme="4"/>
      </top>
      <bottom style="thin">
        <color theme="4"/>
      </bottom>
      <diagonal/>
    </border>
    <border>
      <left/>
      <right style="thin">
        <color theme="4"/>
      </right>
      <top style="medium">
        <color theme="4"/>
      </top>
      <bottom style="thin">
        <color theme="4"/>
      </bottom>
      <diagonal/>
    </border>
    <border>
      <left style="medium">
        <color theme="4"/>
      </left>
      <right/>
      <top style="medium">
        <color theme="4"/>
      </top>
      <bottom style="thin">
        <color theme="4"/>
      </bottom>
      <diagonal/>
    </border>
    <border>
      <left style="thin">
        <color theme="4" tint="-0.249977111117893"/>
      </left>
      <right/>
      <top style="thin">
        <color theme="4"/>
      </top>
      <bottom style="medium">
        <color theme="4" tint="-0.249977111117893"/>
      </bottom>
      <diagonal/>
    </border>
    <border>
      <left/>
      <right style="thin">
        <color theme="4" tint="-0.249977111117893"/>
      </right>
      <top style="thin">
        <color theme="4" tint="-0.249977111117893"/>
      </top>
      <bottom style="thin">
        <color theme="4"/>
      </bottom>
      <diagonal/>
    </border>
    <border>
      <left/>
      <right style="thin">
        <color theme="4" tint="-0.249977111117893"/>
      </right>
      <top/>
      <bottom style="medium">
        <color theme="4" tint="-0.249977111117893"/>
      </bottom>
      <diagonal/>
    </border>
    <border>
      <left style="thin">
        <color theme="4" tint="-0.249977111117893"/>
      </left>
      <right style="thin">
        <color theme="4" tint="-0.249977111117893"/>
      </right>
      <top/>
      <bottom style="medium">
        <color theme="4" tint="-0.249977111117893"/>
      </bottom>
      <diagonal/>
    </border>
    <border>
      <left style="medium">
        <color theme="4" tint="-0.249977111117893"/>
      </left>
      <right style="thin">
        <color theme="4" tint="-0.249977111117893"/>
      </right>
      <top/>
      <bottom style="thin">
        <color theme="4" tint="-0.249977111117893"/>
      </bottom>
      <diagonal/>
    </border>
    <border>
      <left style="medium">
        <color theme="4" tint="-0.249977111117893"/>
      </left>
      <right/>
      <top style="medium">
        <color theme="4" tint="-0.249977111117893"/>
      </top>
      <bottom style="thin">
        <color theme="4" tint="-0.249977111117893"/>
      </bottom>
      <diagonal/>
    </border>
    <border>
      <left/>
      <right style="thin">
        <color theme="2" tint="-0.249977111117893"/>
      </right>
      <top/>
      <bottom style="thin">
        <color theme="2" tint="-0.249977111117893"/>
      </bottom>
      <diagonal/>
    </border>
    <border>
      <left/>
      <right style="thin">
        <color theme="2" tint="-0.249977111117893"/>
      </right>
      <top/>
      <bottom/>
      <diagonal/>
    </border>
    <border>
      <left style="medium">
        <color theme="6" tint="-0.249977111117893"/>
      </left>
      <right/>
      <top/>
      <bottom style="thin">
        <color theme="2" tint="0.39997558519241921"/>
      </bottom>
      <diagonal/>
    </border>
    <border>
      <left/>
      <right/>
      <top/>
      <bottom style="thin">
        <color theme="2" tint="0.39997558519241921"/>
      </bottom>
      <diagonal/>
    </border>
    <border>
      <left/>
      <right style="medium">
        <color theme="6" tint="-0.249977111117893"/>
      </right>
      <top/>
      <bottom style="thin">
        <color theme="2" tint="0.39997558519241921"/>
      </bottom>
      <diagonal/>
    </border>
    <border>
      <left/>
      <right/>
      <top style="thin">
        <color theme="2" tint="-0.249977111117893"/>
      </top>
      <bottom/>
      <diagonal/>
    </border>
    <border>
      <left/>
      <right style="medium">
        <color theme="6" tint="-0.249977111117893"/>
      </right>
      <top style="thin">
        <color theme="2" tint="-0.249977111117893"/>
      </top>
      <bottom/>
      <diagonal/>
    </border>
    <border>
      <left/>
      <right style="thin">
        <color theme="2" tint="-0.249977111117893"/>
      </right>
      <top/>
      <bottom style="thin">
        <color theme="2" tint="0.39997558519241921"/>
      </bottom>
      <diagonal/>
    </border>
    <border>
      <left/>
      <right style="thin">
        <color theme="2" tint="-0.249977111117893"/>
      </right>
      <top style="thin">
        <color theme="2" tint="0.39997558519241921"/>
      </top>
      <bottom/>
      <diagonal/>
    </border>
    <border>
      <left/>
      <right style="thin">
        <color theme="2" tint="-0.249977111117893"/>
      </right>
      <top/>
      <bottom style="medium">
        <color theme="6" tint="-0.249977111117893"/>
      </bottom>
      <diagonal/>
    </border>
    <border>
      <left style="thin">
        <color theme="2" tint="-0.249977111117893"/>
      </left>
      <right/>
      <top style="thin">
        <color theme="2" tint="0.39997558519241921"/>
      </top>
      <bottom/>
      <diagonal/>
    </border>
    <border>
      <left style="thin">
        <color theme="4"/>
      </left>
      <right style="thin">
        <color theme="4"/>
      </right>
      <top style="thin">
        <color theme="4"/>
      </top>
      <bottom style="thin">
        <color theme="4"/>
      </bottom>
      <diagonal/>
    </border>
    <border>
      <left/>
      <right style="medium">
        <color theme="4"/>
      </right>
      <top style="medium">
        <color theme="4"/>
      </top>
      <bottom style="thin">
        <color theme="4"/>
      </bottom>
      <diagonal/>
    </border>
    <border>
      <left/>
      <right style="thin">
        <color theme="4"/>
      </right>
      <top style="thin">
        <color theme="4"/>
      </top>
      <bottom/>
      <diagonal/>
    </border>
    <border>
      <left style="thin">
        <color theme="4"/>
      </left>
      <right/>
      <top style="thin">
        <color theme="4"/>
      </top>
      <bottom/>
      <diagonal/>
    </border>
    <border>
      <left/>
      <right style="medium">
        <color theme="4"/>
      </right>
      <top/>
      <bottom/>
      <diagonal/>
    </border>
    <border>
      <left/>
      <right/>
      <top/>
      <bottom style="medium">
        <color theme="4"/>
      </bottom>
      <diagonal/>
    </border>
    <border>
      <left style="thin">
        <color theme="4"/>
      </left>
      <right style="thin">
        <color theme="4"/>
      </right>
      <top style="thin">
        <color theme="4"/>
      </top>
      <bottom style="medium">
        <color theme="4"/>
      </bottom>
      <diagonal/>
    </border>
    <border>
      <left/>
      <right style="medium">
        <color theme="4"/>
      </right>
      <top/>
      <bottom style="medium">
        <color theme="4"/>
      </bottom>
      <diagonal/>
    </border>
    <border>
      <left style="thin">
        <color theme="2" tint="-0.249977111117893"/>
      </left>
      <right/>
      <top/>
      <bottom/>
      <diagonal/>
    </border>
    <border>
      <left/>
      <right style="thin">
        <color theme="2" tint="-0.249977111117893"/>
      </right>
      <top style="medium">
        <color theme="2" tint="-0.249977111117893"/>
      </top>
      <bottom style="medium">
        <color theme="2" tint="-0.249977111117893"/>
      </bottom>
      <diagonal/>
    </border>
    <border>
      <left style="thin">
        <color theme="2" tint="-0.249977111117893"/>
      </left>
      <right style="thin">
        <color theme="2" tint="-0.249977111117893"/>
      </right>
      <top style="medium">
        <color theme="2" tint="-0.249977111117893"/>
      </top>
      <bottom style="medium">
        <color theme="2" tint="-0.249977111117893"/>
      </bottom>
      <diagonal/>
    </border>
    <border>
      <left style="medium">
        <color theme="2" tint="-0.249977111117893"/>
      </left>
      <right/>
      <top style="medium">
        <color theme="2" tint="-0.249977111117893"/>
      </top>
      <bottom/>
      <diagonal/>
    </border>
    <border>
      <left/>
      <right style="thin">
        <color theme="2" tint="-0.249977111117893"/>
      </right>
      <top style="medium">
        <color theme="2" tint="-0.249977111117893"/>
      </top>
      <bottom/>
      <diagonal/>
    </border>
    <border>
      <left/>
      <right/>
      <top style="medium">
        <color theme="2" tint="-0.249977111117893"/>
      </top>
      <bottom/>
      <diagonal/>
    </border>
    <border>
      <left style="medium">
        <color theme="2" tint="-0.249977111117893"/>
      </left>
      <right/>
      <top/>
      <bottom/>
      <diagonal/>
    </border>
    <border>
      <left style="medium">
        <color theme="2" tint="-0.249977111117893"/>
      </left>
      <right/>
      <top/>
      <bottom style="medium">
        <color theme="2" tint="-0.249977111117893"/>
      </bottom>
      <diagonal/>
    </border>
    <border>
      <left/>
      <right style="thin">
        <color theme="2" tint="-0.249977111117893"/>
      </right>
      <top/>
      <bottom style="medium">
        <color theme="2" tint="-0.249977111117893"/>
      </bottom>
      <diagonal/>
    </border>
    <border>
      <left/>
      <right/>
      <top/>
      <bottom style="medium">
        <color theme="2" tint="-0.249977111117893"/>
      </bottom>
      <diagonal/>
    </border>
    <border>
      <left style="thin">
        <color theme="2" tint="-0.249977111117893"/>
      </left>
      <right style="dashed">
        <color theme="2" tint="-0.249977111117893"/>
      </right>
      <top style="medium">
        <color theme="2" tint="-0.249977111117893"/>
      </top>
      <bottom style="thin">
        <color theme="2" tint="-0.249977111117893"/>
      </bottom>
      <diagonal/>
    </border>
    <border>
      <left style="thin">
        <color theme="2" tint="-0.249977111117893"/>
      </left>
      <right style="dashed">
        <color theme="2" tint="-0.249977111117893"/>
      </right>
      <top/>
      <bottom/>
      <diagonal/>
    </border>
    <border>
      <left style="thin">
        <color theme="2" tint="-0.249977111117893"/>
      </left>
      <right style="dashed">
        <color theme="2" tint="-0.249977111117893"/>
      </right>
      <top style="thin">
        <color theme="2" tint="-0.249977111117893"/>
      </top>
      <bottom style="thin">
        <color theme="2" tint="-0.249977111117893"/>
      </bottom>
      <diagonal/>
    </border>
    <border>
      <left style="thin">
        <color theme="2" tint="-0.249977111117893"/>
      </left>
      <right style="dashed">
        <color theme="2" tint="-0.249977111117893"/>
      </right>
      <top/>
      <bottom style="medium">
        <color theme="2" tint="-0.249977111117893"/>
      </bottom>
      <diagonal/>
    </border>
    <border>
      <left style="thin">
        <color theme="2" tint="-0.249977111117893"/>
      </left>
      <right style="dashed">
        <color theme="2" tint="-0.249977111117893"/>
      </right>
      <top/>
      <bottom style="thin">
        <color theme="2" tint="-0.249977111117893"/>
      </bottom>
      <diagonal/>
    </border>
    <border>
      <left style="thin">
        <color theme="2" tint="-0.249977111117893"/>
      </left>
      <right/>
      <top style="medium">
        <color theme="2" tint="-0.249977111117893"/>
      </top>
      <bottom style="medium">
        <color theme="2" tint="-0.249977111117893"/>
      </bottom>
      <diagonal/>
    </border>
    <border>
      <left style="dashed">
        <color theme="2" tint="-0.249977111117893"/>
      </left>
      <right style="dashed">
        <color theme="2" tint="-0.249977111117893"/>
      </right>
      <top style="medium">
        <color theme="2" tint="-0.249977111117893"/>
      </top>
      <bottom style="medium">
        <color theme="2" tint="-0.249977111117893"/>
      </bottom>
      <diagonal/>
    </border>
    <border>
      <left/>
      <right style="medium">
        <color theme="2" tint="-0.249977111117893"/>
      </right>
      <top style="medium">
        <color theme="2" tint="-0.249977111117893"/>
      </top>
      <bottom style="medium">
        <color theme="2" tint="-0.249977111117893"/>
      </bottom>
      <diagonal/>
    </border>
    <border>
      <left/>
      <right style="medium">
        <color theme="2" tint="-0.249977111117893"/>
      </right>
      <top style="thin">
        <color theme="2" tint="-0.249977111117893"/>
      </top>
      <bottom style="thin">
        <color theme="2" tint="-0.249977111117893"/>
      </bottom>
      <diagonal/>
    </border>
    <border>
      <left/>
      <right style="medium">
        <color theme="2" tint="-0.249977111117893"/>
      </right>
      <top/>
      <bottom style="medium">
        <color theme="2" tint="-0.249977111117893"/>
      </bottom>
      <diagonal/>
    </border>
    <border>
      <left/>
      <right style="medium">
        <color theme="2" tint="-0.249977111117893"/>
      </right>
      <top style="medium">
        <color theme="2" tint="-0.249977111117893"/>
      </top>
      <bottom/>
      <diagonal/>
    </border>
    <border>
      <left style="dashed">
        <color theme="2" tint="-0.249977111117893"/>
      </left>
      <right style="dashed">
        <color theme="2" tint="-0.249977111117893"/>
      </right>
      <top style="medium">
        <color theme="2" tint="-0.249977111117893"/>
      </top>
      <bottom style="thin">
        <color theme="2" tint="-0.249977111117893"/>
      </bottom>
      <diagonal/>
    </border>
    <border>
      <left style="dashed">
        <color theme="2" tint="-0.249977111117893"/>
      </left>
      <right style="dashed">
        <color theme="2" tint="-0.249977111117893"/>
      </right>
      <top/>
      <bottom/>
      <diagonal/>
    </border>
    <border>
      <left style="dashed">
        <color theme="2" tint="-0.249977111117893"/>
      </left>
      <right style="dashed">
        <color theme="2" tint="-0.249977111117893"/>
      </right>
      <top style="thin">
        <color theme="2" tint="-0.249977111117893"/>
      </top>
      <bottom style="thin">
        <color theme="2" tint="-0.249977111117893"/>
      </bottom>
      <diagonal/>
    </border>
    <border>
      <left style="dashed">
        <color theme="2" tint="-0.249977111117893"/>
      </left>
      <right style="dashed">
        <color theme="2" tint="-0.249977111117893"/>
      </right>
      <top/>
      <bottom style="medium">
        <color theme="2" tint="-0.249977111117893"/>
      </bottom>
      <diagonal/>
    </border>
    <border>
      <left style="dashed">
        <color theme="2" tint="-0.249977111117893"/>
      </left>
      <right style="dashed">
        <color theme="2" tint="-0.249977111117893"/>
      </right>
      <top/>
      <bottom style="thin">
        <color theme="2" tint="-0.249977111117893"/>
      </bottom>
      <diagonal/>
    </border>
    <border>
      <left/>
      <right style="dashed">
        <color theme="2" tint="-0.249977111117893"/>
      </right>
      <top style="thin">
        <color theme="2" tint="-0.249977111117893"/>
      </top>
      <bottom style="medium">
        <color theme="2" tint="-0.249977111117893"/>
      </bottom>
      <diagonal/>
    </border>
    <border>
      <left style="thin">
        <color theme="2" tint="-0.249977111117893"/>
      </left>
      <right style="dashed">
        <color theme="2" tint="-0.249977111117893"/>
      </right>
      <top style="thin">
        <color theme="2" tint="-0.249977111117893"/>
      </top>
      <bottom style="medium">
        <color theme="2" tint="-0.249977111117893"/>
      </bottom>
      <diagonal/>
    </border>
    <border>
      <left style="dashed">
        <color theme="2" tint="-0.249977111117893"/>
      </left>
      <right style="dashed">
        <color theme="2" tint="-0.249977111117893"/>
      </right>
      <top style="thin">
        <color theme="2" tint="-0.249977111117893"/>
      </top>
      <bottom style="medium">
        <color theme="2" tint="-0.249977111117893"/>
      </bottom>
      <diagonal/>
    </border>
    <border>
      <left/>
      <right style="medium">
        <color theme="2" tint="-0.249977111117893"/>
      </right>
      <top style="thin">
        <color theme="2" tint="-0.249977111117893"/>
      </top>
      <bottom style="medium">
        <color theme="2" tint="-0.249977111117893"/>
      </bottom>
      <diagonal/>
    </border>
    <border>
      <left style="thin">
        <color theme="2" tint="-0.249977111117893"/>
      </left>
      <right/>
      <top style="thin">
        <color theme="2" tint="-0.249977111117893"/>
      </top>
      <bottom style="medium">
        <color theme="2" tint="-0.249977111117893"/>
      </bottom>
      <diagonal/>
    </border>
    <border>
      <left/>
      <right style="dashed">
        <color theme="2" tint="-0.249977111117893"/>
      </right>
      <top/>
      <bottom style="thin">
        <color theme="2" tint="-0.249977111117893"/>
      </bottom>
      <diagonal/>
    </border>
    <border>
      <left/>
      <right style="dashed">
        <color theme="2" tint="-0.249977111117893"/>
      </right>
      <top style="thin">
        <color theme="2" tint="-0.249977111117893"/>
      </top>
      <bottom style="thin">
        <color theme="2" tint="-0.249977111117893"/>
      </bottom>
      <diagonal/>
    </border>
    <border>
      <left style="dashed">
        <color theme="2" tint="-0.249977111117893"/>
      </left>
      <right style="medium">
        <color theme="2" tint="-0.249977111117893"/>
      </right>
      <top style="thin">
        <color theme="2" tint="-0.249977111117893"/>
      </top>
      <bottom style="thin">
        <color theme="2" tint="-0.249977111117893"/>
      </bottom>
      <diagonal/>
    </border>
    <border>
      <left style="dashed">
        <color theme="2" tint="-0.249977111117893"/>
      </left>
      <right style="medium">
        <color theme="2" tint="-0.249977111117893"/>
      </right>
      <top style="medium">
        <color theme="2" tint="-0.249977111117893"/>
      </top>
      <bottom style="thin">
        <color theme="2" tint="-0.249977111117893"/>
      </bottom>
      <diagonal/>
    </border>
    <border>
      <left style="dashed">
        <color theme="2" tint="-0.249977111117893"/>
      </left>
      <right style="medium">
        <color theme="2" tint="-0.249977111117893"/>
      </right>
      <top style="thin">
        <color theme="2" tint="-0.249977111117893"/>
      </top>
      <bottom/>
      <diagonal/>
    </border>
    <border>
      <left style="thin">
        <color theme="2" tint="-0.249977111117893"/>
      </left>
      <right style="medium">
        <color theme="6" tint="-0.249977111117893"/>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medium">
        <color theme="2" tint="-0.249977111117893"/>
      </right>
      <top/>
      <bottom style="thin">
        <color theme="2" tint="0.39997558519241921"/>
      </bottom>
      <diagonal/>
    </border>
    <border>
      <left/>
      <right style="thin">
        <color indexed="64"/>
      </right>
      <top style="thin">
        <color indexed="64"/>
      </top>
      <bottom/>
      <diagonal/>
    </border>
    <border>
      <left/>
      <right/>
      <top style="thin">
        <color theme="2" tint="0.39997558519241921"/>
      </top>
      <bottom style="thin">
        <color indexed="64"/>
      </bottom>
      <diagonal/>
    </border>
    <border>
      <left/>
      <right/>
      <top style="thin">
        <color theme="2" tint="0.39997558519241921"/>
      </top>
      <bottom/>
      <diagonal/>
    </border>
    <border>
      <left style="medium">
        <color theme="9" tint="0.39997558519241921"/>
      </left>
      <right style="medium">
        <color theme="9" tint="0.39997558519241921"/>
      </right>
      <top style="medium">
        <color theme="9" tint="0.39997558519241921"/>
      </top>
      <bottom style="medium">
        <color theme="9" tint="0.39997558519241921"/>
      </bottom>
      <diagonal/>
    </border>
    <border>
      <left style="thin">
        <color theme="9" tint="0.39997558519241921"/>
      </left>
      <right style="thin">
        <color theme="9" tint="0.39997558519241921"/>
      </right>
      <top style="thin">
        <color theme="9" tint="0.39997558519241921"/>
      </top>
      <bottom style="thin">
        <color theme="9" tint="0.39997558519241921"/>
      </bottom>
      <diagonal/>
    </border>
    <border>
      <left style="thin">
        <color theme="9" tint="0.39997558519241921"/>
      </left>
      <right style="thin">
        <color theme="9" tint="0.39997558519241921"/>
      </right>
      <top style="thin">
        <color theme="9" tint="0.39997558519241921"/>
      </top>
      <bottom/>
      <diagonal/>
    </border>
    <border>
      <left/>
      <right/>
      <top style="thin">
        <color theme="9" tint="0.39997558519241921"/>
      </top>
      <bottom/>
      <diagonal/>
    </border>
    <border>
      <left/>
      <right style="thin">
        <color theme="9" tint="0.39997558519241921"/>
      </right>
      <top style="thin">
        <color theme="9" tint="0.39997558519241921"/>
      </top>
      <bottom style="thin">
        <color theme="9" tint="0.39997558519241921"/>
      </bottom>
      <diagonal/>
    </border>
    <border>
      <left/>
      <right/>
      <top/>
      <bottom style="medium">
        <color theme="9" tint="0.39997558519241921"/>
      </bottom>
      <diagonal/>
    </border>
    <border>
      <left style="thin">
        <color theme="9" tint="0.39997558519241921"/>
      </left>
      <right style="thin">
        <color theme="9" tint="0.39997558519241921"/>
      </right>
      <top/>
      <bottom style="thin">
        <color theme="9" tint="0.39997558519241921"/>
      </bottom>
      <diagonal/>
    </border>
    <border>
      <left style="thin">
        <color theme="9" tint="0.39997558519241921"/>
      </left>
      <right style="medium">
        <color theme="9" tint="0.39997558519241921"/>
      </right>
      <top style="medium">
        <color theme="9" tint="0.39997558519241921"/>
      </top>
      <bottom style="thin">
        <color theme="9" tint="0.39997558519241921"/>
      </bottom>
      <diagonal/>
    </border>
    <border>
      <left style="thin">
        <color theme="9" tint="0.39997558519241921"/>
      </left>
      <right style="medium">
        <color theme="9" tint="0.39997558519241921"/>
      </right>
      <top style="thin">
        <color theme="9" tint="0.39997558519241921"/>
      </top>
      <bottom style="thin">
        <color theme="9" tint="0.39997558519241921"/>
      </bottom>
      <diagonal/>
    </border>
    <border>
      <left style="thin">
        <color theme="9" tint="0.39997558519241921"/>
      </left>
      <right style="medium">
        <color theme="9" tint="0.39997558519241921"/>
      </right>
      <top style="thin">
        <color theme="9" tint="0.39997558519241921"/>
      </top>
      <bottom style="medium">
        <color theme="9" tint="0.39997558519241921"/>
      </bottom>
      <diagonal/>
    </border>
    <border>
      <left style="thin">
        <color theme="9" tint="0.39997558519241921"/>
      </left>
      <right style="thin">
        <color theme="9" tint="0.39997558519241921"/>
      </right>
      <top style="thin">
        <color theme="9" tint="0.39997558519241921"/>
      </top>
      <bottom style="medium">
        <color theme="9" tint="0.39997558519241921"/>
      </bottom>
      <diagonal/>
    </border>
    <border>
      <left/>
      <right style="medium">
        <color theme="9" tint="0.39997558519241921"/>
      </right>
      <top style="medium">
        <color theme="9" tint="0.39997558519241921"/>
      </top>
      <bottom/>
      <diagonal/>
    </border>
    <border>
      <left/>
      <right style="thin">
        <color theme="9" tint="0.39997558519241921"/>
      </right>
      <top/>
      <bottom style="thin">
        <color theme="9" tint="0.39997558519241921"/>
      </bottom>
      <diagonal/>
    </border>
    <border>
      <left/>
      <right style="medium">
        <color theme="9" tint="0.39997558519241921"/>
      </right>
      <top style="thin">
        <color theme="9" tint="0.39997558519241921"/>
      </top>
      <bottom/>
      <diagonal/>
    </border>
    <border>
      <left style="medium">
        <color theme="4" tint="-0.249977111117893"/>
      </left>
      <right style="medium">
        <color theme="9" tint="0.39997558519241921"/>
      </right>
      <top/>
      <bottom/>
      <diagonal/>
    </border>
    <border>
      <left style="medium">
        <color theme="9" tint="0.39997558519241921"/>
      </left>
      <right style="medium">
        <color theme="9" tint="0.39997558519241921"/>
      </right>
      <top style="thin">
        <color theme="9" tint="0.39997558519241921"/>
      </top>
      <bottom style="medium">
        <color theme="9" tint="0.39997558519241921"/>
      </bottom>
      <diagonal/>
    </border>
    <border>
      <left/>
      <right style="medium">
        <color theme="9" tint="0.39997558519241921"/>
      </right>
      <top/>
      <bottom/>
      <diagonal/>
    </border>
    <border>
      <left/>
      <right style="medium">
        <color theme="9" tint="0.39997558519241921"/>
      </right>
      <top/>
      <bottom style="medium">
        <color theme="9" tint="0.39997558519241921"/>
      </bottom>
      <diagonal/>
    </border>
    <border>
      <left/>
      <right style="thin">
        <color theme="9" tint="0.39997558519241921"/>
      </right>
      <top style="thin">
        <color theme="9" tint="0.39997558519241921"/>
      </top>
      <bottom style="medium">
        <color theme="9" tint="0.39997558519241921"/>
      </bottom>
      <diagonal/>
    </border>
    <border>
      <left/>
      <right/>
      <top style="medium">
        <color theme="9" tint="0.39997558519241921"/>
      </top>
      <bottom/>
      <diagonal/>
    </border>
    <border>
      <left style="thin">
        <color theme="9" tint="0.39997558519241921"/>
      </left>
      <right style="medium">
        <color theme="9" tint="0.39997558519241921"/>
      </right>
      <top/>
      <bottom style="thin">
        <color theme="9" tint="0.39997558519241921"/>
      </bottom>
      <diagonal/>
    </border>
    <border>
      <left style="thin">
        <color theme="9" tint="0.39997558519241921"/>
      </left>
      <right style="medium">
        <color theme="9" tint="0.39997558519241921"/>
      </right>
      <top style="medium">
        <color theme="9" tint="0.39997558519241921"/>
      </top>
      <bottom style="medium">
        <color theme="9" tint="0.39997558519241921"/>
      </bottom>
      <diagonal/>
    </border>
    <border>
      <left style="medium">
        <color theme="9" tint="0.39997558519241921"/>
      </left>
      <right/>
      <top style="thin">
        <color theme="9" tint="0.39997558519241921"/>
      </top>
      <bottom style="medium">
        <color theme="9" tint="0.39997558519241921"/>
      </bottom>
      <diagonal/>
    </border>
    <border>
      <left style="medium">
        <color theme="9" tint="0.39997558519241921"/>
      </left>
      <right/>
      <top/>
      <bottom/>
      <diagonal/>
    </border>
    <border>
      <left style="medium">
        <color theme="9" tint="0.39997558519241921"/>
      </left>
      <right/>
      <top style="medium">
        <color theme="9" tint="0.39997558519241921"/>
      </top>
      <bottom/>
      <diagonal/>
    </border>
    <border>
      <left style="medium">
        <color theme="9" tint="0.39997558519241921"/>
      </left>
      <right style="thin">
        <color theme="9" tint="0.39997558519241921"/>
      </right>
      <top style="medium">
        <color theme="9" tint="0.39997558519241921"/>
      </top>
      <bottom style="medium">
        <color theme="9" tint="0.39997558519241921"/>
      </bottom>
      <diagonal/>
    </border>
    <border>
      <left/>
      <right/>
      <top style="thin">
        <color theme="4"/>
      </top>
      <bottom/>
      <diagonal/>
    </border>
    <border>
      <left style="thin">
        <color theme="9" tint="0.39997558519241921"/>
      </left>
      <right style="thin">
        <color theme="9" tint="0.39997558519241921"/>
      </right>
      <top style="thin">
        <color theme="9" tint="0.39997558519241921"/>
      </top>
      <bottom style="thin">
        <color theme="0"/>
      </bottom>
      <diagonal/>
    </border>
    <border>
      <left style="thin">
        <color theme="9" tint="0.39997558519241921"/>
      </left>
      <right/>
      <top style="thin">
        <color theme="9" tint="0.39997558519241921"/>
      </top>
      <bottom style="thin">
        <color theme="9" tint="0.39997558519241921"/>
      </bottom>
      <diagonal/>
    </border>
    <border>
      <left/>
      <right/>
      <top style="medium">
        <color theme="9" tint="0.39997558519241921"/>
      </top>
      <bottom style="thin">
        <color theme="9" tint="0.39997558519241921"/>
      </bottom>
      <diagonal/>
    </border>
    <border>
      <left/>
      <right style="medium">
        <color theme="9" tint="0.39997558519241921"/>
      </right>
      <top style="medium">
        <color theme="9" tint="0.39997558519241921"/>
      </top>
      <bottom style="thin">
        <color theme="9" tint="0.39997558519241921"/>
      </bottom>
      <diagonal/>
    </border>
    <border>
      <left/>
      <right style="medium">
        <color theme="9" tint="0.39997558519241921"/>
      </right>
      <top style="thin">
        <color theme="9" tint="0.39997558519241921"/>
      </top>
      <bottom style="thin">
        <color theme="9" tint="0.39997558519241921"/>
      </bottom>
      <diagonal/>
    </border>
    <border>
      <left style="medium">
        <color theme="9" tint="0.39997558519241921"/>
      </left>
      <right/>
      <top/>
      <bottom style="medium">
        <color theme="9" tint="0.39997558519241921"/>
      </bottom>
      <diagonal/>
    </border>
    <border>
      <left/>
      <right/>
      <top/>
      <bottom style="thin">
        <color theme="4"/>
      </bottom>
      <diagonal/>
    </border>
    <border>
      <left/>
      <right/>
      <top style="thin">
        <color theme="9" tint="0.39997558519241921"/>
      </top>
      <bottom style="thin">
        <color theme="9" tint="0.39997558519241921"/>
      </bottom>
      <diagonal/>
    </border>
    <border>
      <left style="thin">
        <color theme="9" tint="0.39997558519241921"/>
      </left>
      <right/>
      <top/>
      <bottom style="thin">
        <color theme="9" tint="0.39997558519241921"/>
      </bottom>
      <diagonal/>
    </border>
    <border>
      <left/>
      <right/>
      <top/>
      <bottom style="thin">
        <color theme="9" tint="0.39997558519241921"/>
      </bottom>
      <diagonal/>
    </border>
    <border>
      <left/>
      <right style="medium">
        <color theme="9" tint="0.39997558519241921"/>
      </right>
      <top/>
      <bottom style="thin">
        <color theme="9" tint="0.39997558519241921"/>
      </bottom>
      <diagonal/>
    </border>
    <border>
      <left style="thin">
        <color theme="9" tint="0.39997558519241921"/>
      </left>
      <right/>
      <top style="medium">
        <color theme="9" tint="0.39997558519241921"/>
      </top>
      <bottom style="thin">
        <color theme="9" tint="0.39997558519241921"/>
      </bottom>
      <diagonal/>
    </border>
    <border>
      <left/>
      <right style="thin">
        <color theme="9" tint="0.39997558519241921"/>
      </right>
      <top/>
      <bottom/>
      <diagonal/>
    </border>
    <border>
      <left style="thin">
        <color theme="9" tint="0.39997558519241921"/>
      </left>
      <right/>
      <top style="thin">
        <color theme="9" tint="0.39997558519241921"/>
      </top>
      <bottom/>
      <diagonal/>
    </border>
    <border>
      <left/>
      <right style="thin">
        <color theme="4"/>
      </right>
      <top/>
      <bottom style="medium">
        <color theme="4" tint="-0.249977111117893"/>
      </bottom>
      <diagonal/>
    </border>
    <border>
      <left style="medium">
        <color theme="4"/>
      </left>
      <right/>
      <top style="medium">
        <color theme="4"/>
      </top>
      <bottom style="medium">
        <color theme="4"/>
      </bottom>
      <diagonal/>
    </border>
    <border>
      <left/>
      <right/>
      <top style="medium">
        <color theme="4"/>
      </top>
      <bottom style="medium">
        <color theme="4"/>
      </bottom>
      <diagonal/>
    </border>
    <border>
      <left style="thin">
        <color theme="4"/>
      </left>
      <right/>
      <top style="medium">
        <color theme="4"/>
      </top>
      <bottom style="medium">
        <color theme="4"/>
      </bottom>
      <diagonal/>
    </border>
    <border>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right style="thin">
        <color rgb="FF7030A0"/>
      </right>
      <top style="thin">
        <color rgb="FF7030A0"/>
      </top>
      <bottom style="thin">
        <color rgb="FF7030A0"/>
      </bottom>
      <diagonal/>
    </border>
    <border>
      <left/>
      <right/>
      <top/>
      <bottom style="thin">
        <color rgb="FF7030A0"/>
      </bottom>
      <diagonal/>
    </border>
    <border>
      <left style="thin">
        <color indexed="64"/>
      </left>
      <right/>
      <top style="thin">
        <color indexed="64"/>
      </top>
      <bottom/>
      <diagonal/>
    </border>
    <border>
      <left style="thin">
        <color theme="7" tint="-0.249977111117893"/>
      </left>
      <right/>
      <top style="thin">
        <color theme="7" tint="-0.249977111117893"/>
      </top>
      <bottom style="thin">
        <color theme="7" tint="-0.249977111117893"/>
      </bottom>
      <diagonal/>
    </border>
    <border>
      <left style="thin">
        <color theme="8" tint="-0.249977111117893"/>
      </left>
      <right/>
      <top style="thin">
        <color theme="8" tint="-0.249977111117893"/>
      </top>
      <bottom style="thin">
        <color theme="8" tint="-0.249977111117893"/>
      </bottom>
      <diagonal/>
    </border>
    <border>
      <left/>
      <right/>
      <top style="thin">
        <color theme="8" tint="-0.249977111117893"/>
      </top>
      <bottom style="thin">
        <color theme="8" tint="-0.249977111117893"/>
      </bottom>
      <diagonal/>
    </border>
    <border>
      <left/>
      <right style="thin">
        <color theme="8" tint="-0.249977111117893"/>
      </right>
      <top style="thin">
        <color theme="8" tint="-0.249977111117893"/>
      </top>
      <bottom style="thin">
        <color theme="8" tint="-0.249977111117893"/>
      </bottom>
      <diagonal/>
    </border>
    <border>
      <left/>
      <right/>
      <top style="medium">
        <color theme="6"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top style="thin">
        <color theme="7" tint="-0.249977111117893"/>
      </top>
      <bottom style="thin">
        <color theme="7" tint="-0.249977111117893"/>
      </bottom>
      <diagonal/>
    </border>
    <border>
      <left style="thin">
        <color theme="7" tint="-0.249977111117893"/>
      </left>
      <right style="medium">
        <color theme="7" tint="-0.249977111117893"/>
      </right>
      <top style="thin">
        <color theme="7" tint="-0.249977111117893"/>
      </top>
      <bottom style="thin">
        <color theme="7" tint="-0.249977111117893"/>
      </bottom>
      <diagonal/>
    </border>
    <border>
      <left style="medium">
        <color theme="7" tint="-0.249977111117893"/>
      </left>
      <right style="medium">
        <color theme="7" tint="-0.249977111117893"/>
      </right>
      <top style="thin">
        <color theme="7" tint="-0.249977111117893"/>
      </top>
      <bottom style="thin">
        <color theme="7" tint="-0.249977111117893"/>
      </bottom>
      <diagonal/>
    </border>
    <border>
      <left style="medium">
        <color theme="7" tint="-0.249977111117893"/>
      </left>
      <right style="thin">
        <color theme="7" tint="-0.249977111117893"/>
      </right>
      <top style="thin">
        <color theme="7" tint="-0.249977111117893"/>
      </top>
      <bottom style="thin">
        <color theme="7" tint="-0.249977111117893"/>
      </bottom>
      <diagonal/>
    </border>
    <border>
      <left/>
      <right style="thin">
        <color theme="4"/>
      </right>
      <top style="medium">
        <color theme="4" tint="-0.249977111117893"/>
      </top>
      <bottom style="thin">
        <color theme="4" tint="-0.249977111117893"/>
      </bottom>
      <diagonal/>
    </border>
    <border>
      <left/>
      <right style="thin">
        <color theme="4"/>
      </right>
      <top style="medium">
        <color theme="4"/>
      </top>
      <bottom/>
      <diagonal/>
    </border>
    <border>
      <left/>
      <right style="medium">
        <color theme="4"/>
      </right>
      <top style="thin">
        <color theme="4"/>
      </top>
      <bottom style="thin">
        <color theme="4"/>
      </bottom>
      <diagonal/>
    </border>
    <border>
      <left/>
      <right style="medium">
        <color theme="4"/>
      </right>
      <top style="thin">
        <color theme="4"/>
      </top>
      <bottom style="medium">
        <color theme="4"/>
      </bottom>
      <diagonal/>
    </border>
    <border>
      <left style="thin">
        <color theme="9" tint="0.39997558519241921"/>
      </left>
      <right style="thin">
        <color theme="4"/>
      </right>
      <top style="thin">
        <color theme="4"/>
      </top>
      <bottom style="medium">
        <color theme="4"/>
      </bottom>
      <diagonal/>
    </border>
    <border>
      <left/>
      <right style="medium">
        <color theme="2" tint="-0.249977111117893"/>
      </right>
      <top style="thin">
        <color theme="2" tint="0.39997558519241921"/>
      </top>
      <bottom/>
      <diagonal/>
    </border>
    <border>
      <left/>
      <right style="thin">
        <color theme="2" tint="-0.249977111117893"/>
      </right>
      <top/>
      <bottom style="thin">
        <color indexed="64"/>
      </bottom>
      <diagonal/>
    </border>
    <border>
      <left/>
      <right style="thin">
        <color theme="2" tint="-0.249977111117893"/>
      </right>
      <top style="thin">
        <color indexed="64"/>
      </top>
      <bottom style="thin">
        <color indexed="64"/>
      </bottom>
      <diagonal/>
    </border>
    <border>
      <left/>
      <right style="thin">
        <color theme="2" tint="-0.249977111117893"/>
      </right>
      <top style="thin">
        <color theme="2" tint="0.39997558519241921"/>
      </top>
      <bottom style="thin">
        <color theme="2" tint="0.39997558519241921"/>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top/>
      <bottom style="thin">
        <color theme="2" tint="-0.249977111117893"/>
      </bottom>
      <diagonal/>
    </border>
    <border>
      <left/>
      <right style="thin">
        <color theme="2" tint="-0.249977111117893"/>
      </right>
      <top style="thin">
        <color theme="2" tint="-0.249977111117893"/>
      </top>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top style="thin">
        <color theme="2" tint="-0.249977111117893"/>
      </top>
      <bottom/>
      <diagonal/>
    </border>
    <border>
      <left style="thin">
        <color theme="2" tint="-0.249977111117893"/>
      </left>
      <right style="thin">
        <color theme="2" tint="-0.249977111117893"/>
      </right>
      <top/>
      <bottom/>
      <diagonal/>
    </border>
    <border>
      <left style="thin">
        <color theme="2" tint="-0.249977111117893"/>
      </left>
      <right style="thin">
        <color theme="2" tint="-0.249977111117893"/>
      </right>
      <top style="thin">
        <color theme="2" tint="0.39997558519241921"/>
      </top>
      <bottom/>
      <diagonal/>
    </border>
    <border>
      <left style="thin">
        <color theme="2" tint="0.39997558519241921"/>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39997558519241921"/>
      </top>
      <bottom style="thin">
        <color theme="2" tint="0.39997558519241921"/>
      </bottom>
      <diagonal/>
    </border>
    <border>
      <left style="thin">
        <color theme="2" tint="-0.249977111117893"/>
      </left>
      <right/>
      <top style="thin">
        <color theme="2" tint="0.39997558519241921"/>
      </top>
      <bottom style="thin">
        <color theme="2" tint="0.39997558519241921"/>
      </bottom>
      <diagonal/>
    </border>
    <border>
      <left style="thin">
        <color theme="2" tint="0.39997558519241921"/>
      </left>
      <right style="thin">
        <color theme="2" tint="-0.249977111117893"/>
      </right>
      <top/>
      <bottom style="thin">
        <color theme="2" tint="-0.249977111117893"/>
      </bottom>
      <diagonal/>
    </border>
    <border>
      <left style="thin">
        <color theme="2" tint="-0.249977111117893"/>
      </left>
      <right style="thin">
        <color theme="2" tint="-0.249977111117893"/>
      </right>
      <top/>
      <bottom style="thin">
        <color theme="2" tint="0.39997558519241921"/>
      </bottom>
      <diagonal/>
    </border>
    <border>
      <left style="thin">
        <color theme="2" tint="-0.249977111117893"/>
      </left>
      <right/>
      <top/>
      <bottom style="thin">
        <color theme="2" tint="0.39997558519241921"/>
      </bottom>
      <diagonal/>
    </border>
    <border>
      <left style="thin">
        <color theme="2" tint="-0.249977111117893"/>
      </left>
      <right style="thin">
        <color theme="2" tint="-0.249977111117893"/>
      </right>
      <top style="thin">
        <color theme="2" tint="-0.249977111117893"/>
      </top>
      <bottom style="thin">
        <color indexed="64"/>
      </bottom>
      <diagonal/>
    </border>
    <border>
      <left/>
      <right style="thin">
        <color theme="2" tint="-0.249977111117893"/>
      </right>
      <top style="thin">
        <color theme="2" tint="0.39997558519241921"/>
      </top>
      <bottom style="thin">
        <color indexed="64"/>
      </bottom>
      <diagonal/>
    </border>
    <border>
      <left style="thin">
        <color theme="2" tint="-0.249977111117893"/>
      </left>
      <right style="thin">
        <color theme="2" tint="-0.249977111117893"/>
      </right>
      <top style="thin">
        <color theme="2" tint="0.39997558519241921"/>
      </top>
      <bottom style="thin">
        <color indexed="64"/>
      </bottom>
      <diagonal/>
    </border>
    <border>
      <left style="thin">
        <color theme="2" tint="-0.249977111117893"/>
      </left>
      <right/>
      <top style="thin">
        <color theme="2" tint="0.39997558519241921"/>
      </top>
      <bottom style="thin">
        <color indexed="64"/>
      </bottom>
      <diagonal/>
    </border>
    <border>
      <left style="thin">
        <color theme="2" tint="-0.249977111117893"/>
      </left>
      <right style="thin">
        <color theme="2" tint="-0.249977111117893"/>
      </right>
      <top style="thin">
        <color indexed="64"/>
      </top>
      <bottom style="thin">
        <color indexed="64"/>
      </bottom>
      <diagonal/>
    </border>
    <border>
      <left style="thin">
        <color theme="2" tint="-0.249977111117893"/>
      </left>
      <right style="thin">
        <color theme="2" tint="-0.249977111117893"/>
      </right>
      <top/>
      <bottom style="thin">
        <color indexed="64"/>
      </bottom>
      <diagonal/>
    </border>
    <border>
      <left style="thin">
        <color theme="2" tint="-0.249977111117893"/>
      </left>
      <right/>
      <top/>
      <bottom style="thin">
        <color indexed="64"/>
      </bottom>
      <diagonal/>
    </border>
    <border>
      <left/>
      <right style="thin">
        <color theme="2" tint="-0.249977111117893"/>
      </right>
      <top style="thin">
        <color theme="2" tint="-0.249977111117893"/>
      </top>
      <bottom style="thin">
        <color indexed="64"/>
      </bottom>
      <diagonal/>
    </border>
    <border>
      <left style="thin">
        <color theme="9" tint="0.39997558519241921"/>
      </left>
      <right style="medium">
        <color theme="4"/>
      </right>
      <top style="thin">
        <color theme="4"/>
      </top>
      <bottom style="medium">
        <color theme="4"/>
      </bottom>
      <diagonal/>
    </border>
    <border>
      <left style="thin">
        <color theme="4"/>
      </left>
      <right style="thin">
        <color theme="4"/>
      </right>
      <top style="medium">
        <color theme="4"/>
      </top>
      <bottom style="medium">
        <color theme="4"/>
      </bottom>
      <diagonal/>
    </border>
    <border>
      <left style="thin">
        <color indexed="64"/>
      </left>
      <right style="thin">
        <color indexed="64"/>
      </right>
      <top style="thin">
        <color indexed="64"/>
      </top>
      <bottom style="thin">
        <color indexed="64"/>
      </bottom>
      <diagonal/>
    </border>
    <border>
      <left style="thin">
        <color theme="4" tint="-0.249977111117893"/>
      </left>
      <right/>
      <top style="thin">
        <color theme="4" tint="-0.249977111117893"/>
      </top>
      <bottom/>
      <diagonal/>
    </border>
    <border>
      <left/>
      <right/>
      <top style="thin">
        <color theme="4" tint="-0.249977111117893"/>
      </top>
      <bottom/>
      <diagonal/>
    </border>
    <border>
      <left/>
      <right style="thin">
        <color theme="4" tint="-0.249977111117893"/>
      </right>
      <top style="thin">
        <color theme="4" tint="-0.249977111117893"/>
      </top>
      <bottom/>
      <diagonal/>
    </border>
    <border>
      <left style="thin">
        <color theme="4" tint="-0.249977111117893"/>
      </left>
      <right/>
      <top/>
      <bottom/>
      <diagonal/>
    </border>
    <border>
      <left style="thin">
        <color theme="4" tint="-0.249977111117893"/>
      </left>
      <right/>
      <top/>
      <bottom style="thin">
        <color theme="4" tint="-0.249977111117893"/>
      </bottom>
      <diagonal/>
    </border>
    <border>
      <left/>
      <right/>
      <top/>
      <bottom style="thin">
        <color theme="4" tint="-0.249977111117893"/>
      </bottom>
      <diagonal/>
    </border>
    <border>
      <left style="thin">
        <color theme="4"/>
      </left>
      <right/>
      <top/>
      <bottom style="thin">
        <color theme="4"/>
      </bottom>
      <diagonal/>
    </border>
    <border>
      <left/>
      <right style="thin">
        <color theme="4"/>
      </right>
      <top/>
      <bottom style="thin">
        <color theme="4"/>
      </bottom>
      <diagonal/>
    </border>
    <border>
      <left style="medium">
        <color theme="6" tint="-0.249977111117893"/>
      </left>
      <right/>
      <top style="medium">
        <color theme="6" tint="-0.249977111117893"/>
      </top>
      <bottom style="thin">
        <color theme="2" tint="-0.249977111117893"/>
      </bottom>
      <diagonal/>
    </border>
    <border>
      <left/>
      <right style="medium">
        <color theme="6" tint="-0.249977111117893"/>
      </right>
      <top style="medium">
        <color theme="6" tint="-0.249977111117893"/>
      </top>
      <bottom style="thin">
        <color theme="2" tint="-0.249977111117893"/>
      </bottom>
      <diagonal/>
    </border>
    <border>
      <left/>
      <right style="thin">
        <color theme="2" tint="0.39997558519241921"/>
      </right>
      <top style="thin">
        <color theme="2" tint="0.39997558519241921"/>
      </top>
      <bottom style="thin">
        <color theme="2" tint="0.39997558519241921"/>
      </bottom>
      <diagonal/>
    </border>
    <border>
      <left style="thin">
        <color theme="2" tint="0.39997558519241921"/>
      </left>
      <right style="thin">
        <color theme="2" tint="0.39997558519241921"/>
      </right>
      <top style="thin">
        <color theme="2" tint="0.39997558519241921"/>
      </top>
      <bottom style="thin">
        <color theme="2" tint="0.39997558519241921"/>
      </bottom>
      <diagonal/>
    </border>
    <border>
      <left style="thin">
        <color theme="2" tint="0.39997558519241921"/>
      </left>
      <right style="thin">
        <color theme="2" tint="0.39997558519241921"/>
      </right>
      <top style="thin">
        <color theme="2" tint="-0.249977111117893"/>
      </top>
      <bottom style="thin">
        <color theme="2" tint="0.39997558519241921"/>
      </bottom>
      <diagonal/>
    </border>
    <border>
      <left style="thin">
        <color theme="2" tint="0.39997558519241921"/>
      </left>
      <right/>
      <top style="thin">
        <color theme="2" tint="0.39997558519241921"/>
      </top>
      <bottom style="thin">
        <color theme="2" tint="0.39997558519241921"/>
      </bottom>
      <diagonal/>
    </border>
    <border>
      <left style="thin">
        <color theme="2" tint="0.39997558519241921"/>
      </left>
      <right style="thin">
        <color theme="2" tint="-0.249977111117893"/>
      </right>
      <top style="thin">
        <color theme="2" tint="-0.249977111117893"/>
      </top>
      <bottom style="thin">
        <color theme="2" tint="0.39997558519241921"/>
      </bottom>
      <diagonal/>
    </border>
    <border>
      <left style="thin">
        <color theme="2" tint="0.39997558519241921"/>
      </left>
      <right style="thin">
        <color theme="2" tint="-0.249977111117893"/>
      </right>
      <top style="thin">
        <color theme="2" tint="0.39997558519241921"/>
      </top>
      <bottom style="thin">
        <color theme="2" tint="0.39997558519241921"/>
      </bottom>
      <diagonal/>
    </border>
    <border>
      <left/>
      <right style="thin">
        <color theme="2" tint="0.39997558519241921"/>
      </right>
      <top/>
      <bottom/>
      <diagonal/>
    </border>
    <border>
      <left style="thin">
        <color theme="2" tint="0.39997558519241921"/>
      </left>
      <right/>
      <top/>
      <bottom/>
      <diagonal/>
    </border>
    <border>
      <left style="thin">
        <color theme="2" tint="-0.249977111117893"/>
      </left>
      <right style="thin">
        <color theme="2" tint="0.39997558519241921"/>
      </right>
      <top style="thin">
        <color theme="2" tint="-0.249977111117893"/>
      </top>
      <bottom style="thin">
        <color theme="2" tint="0.39997558519241921"/>
      </bottom>
      <diagonal/>
    </border>
    <border>
      <left style="thin">
        <color theme="2" tint="0.39997558519241921"/>
      </left>
      <right/>
      <top style="thin">
        <color theme="2" tint="-0.249977111117893"/>
      </top>
      <bottom style="thin">
        <color theme="2" tint="0.39997558519241921"/>
      </bottom>
      <diagonal/>
    </border>
    <border>
      <left/>
      <right style="thin">
        <color theme="2" tint="0.39997558519241921"/>
      </right>
      <top style="thin">
        <color theme="2" tint="-0.249977111117893"/>
      </top>
      <bottom style="thin">
        <color theme="2" tint="0.39997558519241921"/>
      </bottom>
      <diagonal/>
    </border>
    <border>
      <left/>
      <right style="thin">
        <color theme="2" tint="-0.249977111117893"/>
      </right>
      <top style="thin">
        <color theme="2" tint="-0.249977111117893"/>
      </top>
      <bottom style="thin">
        <color theme="2" tint="0.39997558519241921"/>
      </bottom>
      <diagonal/>
    </border>
    <border>
      <left style="thin">
        <color theme="2" tint="-0.249977111117893"/>
      </left>
      <right style="thin">
        <color theme="2" tint="0.39997558519241921"/>
      </right>
      <top style="thin">
        <color theme="2" tint="0.39997558519241921"/>
      </top>
      <bottom style="thin">
        <color theme="2" tint="0.39997558519241921"/>
      </bottom>
      <diagonal/>
    </border>
    <border>
      <left style="thin">
        <color theme="2" tint="-0.249977111117893"/>
      </left>
      <right style="thin">
        <color theme="2" tint="0.39997558519241921"/>
      </right>
      <top style="thin">
        <color theme="2" tint="0.39997558519241921"/>
      </top>
      <bottom style="thin">
        <color theme="2" tint="-0.249977111117893"/>
      </bottom>
      <diagonal/>
    </border>
    <border>
      <left style="thin">
        <color theme="2" tint="0.39997558519241921"/>
      </left>
      <right style="thin">
        <color theme="2" tint="0.39997558519241921"/>
      </right>
      <top style="thin">
        <color theme="2" tint="0.39997558519241921"/>
      </top>
      <bottom style="thin">
        <color theme="2" tint="-0.249977111117893"/>
      </bottom>
      <diagonal/>
    </border>
    <border>
      <left style="thin">
        <color theme="2" tint="0.39997558519241921"/>
      </left>
      <right/>
      <top style="thin">
        <color theme="2" tint="0.39997558519241921"/>
      </top>
      <bottom style="thin">
        <color theme="2" tint="-0.249977111117893"/>
      </bottom>
      <diagonal/>
    </border>
    <border>
      <left/>
      <right style="thin">
        <color theme="2" tint="0.39997558519241921"/>
      </right>
      <top style="thin">
        <color theme="2" tint="0.39997558519241921"/>
      </top>
      <bottom style="thin">
        <color theme="2" tint="-0.249977111117893"/>
      </bottom>
      <diagonal/>
    </border>
    <border>
      <left/>
      <right style="thin">
        <color theme="2" tint="-0.249977111117893"/>
      </right>
      <top style="thin">
        <color theme="2" tint="0.39997558519241921"/>
      </top>
      <bottom style="thin">
        <color theme="2" tint="-0.249977111117893"/>
      </bottom>
      <diagonal/>
    </border>
    <border>
      <left/>
      <right/>
      <top style="thin">
        <color theme="2" tint="0.39997558519241921"/>
      </top>
      <bottom style="thin">
        <color theme="2" tint="-0.249977111117893"/>
      </bottom>
      <diagonal/>
    </border>
    <border>
      <left/>
      <right/>
      <top style="thin">
        <color theme="2" tint="0.39997558519241921"/>
      </top>
      <bottom style="thin">
        <color theme="2" tint="0.39997558519241921"/>
      </bottom>
      <diagonal/>
    </border>
    <border>
      <left/>
      <right style="thin">
        <color theme="2" tint="0.39997558519241921"/>
      </right>
      <top style="thin">
        <color theme="2" tint="-0.249977111117893"/>
      </top>
      <bottom style="thin">
        <color theme="2" tint="-0.249977111117893"/>
      </bottom>
      <diagonal/>
    </border>
    <border>
      <left style="thin">
        <color theme="2" tint="0.39997558519241921"/>
      </left>
      <right/>
      <top style="thin">
        <color theme="2" tint="-0.249977111117893"/>
      </top>
      <bottom style="thin">
        <color theme="2" tint="-0.249977111117893"/>
      </bottom>
      <diagonal/>
    </border>
    <border>
      <left style="thin">
        <color theme="2" tint="-0.249977111117893"/>
      </left>
      <right style="thin">
        <color theme="2" tint="0.39997558519241921"/>
      </right>
      <top style="thin">
        <color theme="2" tint="-0.249977111117893"/>
      </top>
      <bottom style="thin">
        <color theme="2" tint="-0.249977111117893"/>
      </bottom>
      <diagonal/>
    </border>
    <border>
      <left style="thin">
        <color theme="2" tint="0.39997558519241921"/>
      </left>
      <right style="thin">
        <color theme="2" tint="0.39997558519241921"/>
      </right>
      <top style="thin">
        <color theme="2" tint="-0.249977111117893"/>
      </top>
      <bottom style="thin">
        <color theme="2" tint="-0.249977111117893"/>
      </bottom>
      <diagonal/>
    </border>
    <border>
      <left style="thin">
        <color theme="2" tint="0.39997558519241921"/>
      </left>
      <right style="thin">
        <color theme="2" tint="-0.249977111117893"/>
      </right>
      <top style="thin">
        <color theme="2" tint="0.39997558519241921"/>
      </top>
      <bottom style="thin">
        <color theme="2" tint="-0.249977111117893"/>
      </bottom>
      <diagonal/>
    </border>
    <border>
      <left style="thin">
        <color theme="2" tint="0.39997558519241921"/>
      </left>
      <right style="thin">
        <color theme="2" tint="0.39997558519241921"/>
      </right>
      <top/>
      <bottom style="thin">
        <color theme="2" tint="0.39997558519241921"/>
      </bottom>
      <diagonal/>
    </border>
    <border>
      <left/>
      <right style="thin">
        <color theme="2" tint="0.39997558519241921"/>
      </right>
      <top/>
      <bottom style="thin">
        <color theme="2" tint="0.39997558519241921"/>
      </bottom>
      <diagonal/>
    </border>
    <border>
      <left style="thin">
        <color theme="2" tint="0.39997558519241921"/>
      </left>
      <right/>
      <top/>
      <bottom style="thin">
        <color theme="2" tint="0.39997558519241921"/>
      </bottom>
      <diagonal/>
    </border>
    <border>
      <left/>
      <right/>
      <top/>
      <bottom style="medium">
        <color theme="0"/>
      </bottom>
      <diagonal/>
    </border>
    <border>
      <left/>
      <right/>
      <top style="thin">
        <color theme="2" tint="-0.249977111117893"/>
      </top>
      <bottom style="thin">
        <color theme="2" tint="0.39997558519241921"/>
      </bottom>
      <diagonal/>
    </border>
    <border>
      <left style="thin">
        <color theme="2" tint="0.39997558519241921"/>
      </left>
      <right style="thin">
        <color theme="2" tint="-0.249977111117893"/>
      </right>
      <top/>
      <bottom style="thin">
        <color theme="2" tint="0.39997558519241921"/>
      </bottom>
      <diagonal/>
    </border>
    <border>
      <left style="thin">
        <color theme="2" tint="-0.249977111117893"/>
      </left>
      <right style="thin">
        <color theme="2" tint="0.39997558519241921"/>
      </right>
      <top/>
      <bottom style="thin">
        <color theme="2" tint="0.39997558519241921"/>
      </bottom>
      <diagonal/>
    </border>
    <border>
      <left style="thin">
        <color theme="2" tint="-0.249977111117893"/>
      </left>
      <right style="thin">
        <color theme="2" tint="0.39997558519241921"/>
      </right>
      <top style="thin">
        <color theme="2" tint="0.39997558519241921"/>
      </top>
      <bottom/>
      <diagonal/>
    </border>
    <border>
      <left style="thin">
        <color theme="2" tint="0.39997558519241921"/>
      </left>
      <right style="thin">
        <color theme="2" tint="0.39997558519241921"/>
      </right>
      <top style="thin">
        <color theme="2" tint="0.39997558519241921"/>
      </top>
      <bottom/>
      <diagonal/>
    </border>
    <border>
      <left style="thin">
        <color theme="2" tint="0.39997558519241921"/>
      </left>
      <right style="thin">
        <color theme="2" tint="-0.249977111117893"/>
      </right>
      <top style="thin">
        <color theme="2" tint="0.39997558519241921"/>
      </top>
      <bottom/>
      <diagonal/>
    </border>
    <border>
      <left style="thin">
        <color theme="2" tint="0.39997558519241921"/>
      </left>
      <right style="thin">
        <color theme="2" tint="0.39997558519241921"/>
      </right>
      <top/>
      <bottom style="thin">
        <color theme="2" tint="-0.249977111117893"/>
      </bottom>
      <diagonal/>
    </border>
    <border>
      <left style="thin">
        <color theme="2" tint="0.39997558519241921"/>
      </left>
      <right/>
      <top/>
      <bottom style="thin">
        <color theme="2" tint="-0.249977111117893"/>
      </bottom>
      <diagonal/>
    </border>
    <border>
      <left style="thin">
        <color theme="2" tint="0.39997558519241921"/>
      </left>
      <right style="thin">
        <color theme="2" tint="0.39997558519241921"/>
      </right>
      <top style="thin">
        <color theme="2" tint="-0.249977111117893"/>
      </top>
      <bottom/>
      <diagonal/>
    </border>
    <border>
      <left style="thin">
        <color theme="2" tint="0.39997558519241921"/>
      </left>
      <right/>
      <top style="thin">
        <color theme="2" tint="-0.249977111117893"/>
      </top>
      <bottom/>
      <diagonal/>
    </border>
    <border>
      <left/>
      <right style="thin">
        <color theme="2" tint="0.39997558519241921"/>
      </right>
      <top style="thin">
        <color theme="2" tint="-0.249977111117893"/>
      </top>
      <bottom/>
      <diagonal/>
    </border>
    <border>
      <left/>
      <right style="thin">
        <color theme="2" tint="0.39997558519241921"/>
      </right>
      <top/>
      <bottom style="thin">
        <color theme="2" tint="-0.249977111117893"/>
      </bottom>
      <diagonal/>
    </border>
    <border>
      <left style="medium">
        <color theme="6" tint="-0.249977111117893"/>
      </left>
      <right/>
      <top style="medium">
        <color theme="6" tint="-0.249977111117893"/>
      </top>
      <bottom style="medium">
        <color theme="6" tint="-0.249977111117893"/>
      </bottom>
      <diagonal/>
    </border>
    <border>
      <left/>
      <right style="medium">
        <color theme="6" tint="-0.249977111117893"/>
      </right>
      <top style="medium">
        <color theme="6" tint="-0.249977111117893"/>
      </top>
      <bottom style="medium">
        <color theme="6" tint="-0.249977111117893"/>
      </bottom>
      <diagonal/>
    </border>
    <border>
      <left style="thin">
        <color theme="2" tint="-0.249977111117893"/>
      </left>
      <right style="thin">
        <color theme="2" tint="0.39997558519241921"/>
      </right>
      <top/>
      <bottom style="thin">
        <color theme="2" tint="-0.249977111117893"/>
      </bottom>
      <diagonal/>
    </border>
    <border>
      <left/>
      <right/>
      <top style="medium">
        <color theme="0"/>
      </top>
      <bottom style="medium">
        <color theme="0"/>
      </bottom>
      <diagonal/>
    </border>
    <border>
      <left/>
      <right style="thin">
        <color theme="9" tint="0.39997558519241921"/>
      </right>
      <top style="medium">
        <color theme="9" tint="0.39997558519241921"/>
      </top>
      <bottom style="thin">
        <color theme="9" tint="0.39997558519241921"/>
      </bottom>
      <diagonal/>
    </border>
    <border>
      <left/>
      <right style="thin">
        <color theme="9" tint="0.39997558519241921"/>
      </right>
      <top style="thin">
        <color theme="9" tint="0.39997558519241921"/>
      </top>
      <bottom/>
      <diagonal/>
    </border>
    <border>
      <left/>
      <right style="thin">
        <color theme="2" tint="0.39997558519241921"/>
      </right>
      <top style="thin">
        <color theme="2" tint="0.39997558519241921"/>
      </top>
      <bottom/>
      <diagonal/>
    </border>
    <border>
      <left style="thin">
        <color theme="9" tint="0.39997558519241921"/>
      </left>
      <right style="thick">
        <color theme="9" tint="0.39997558519241921"/>
      </right>
      <top style="thin">
        <color theme="9" tint="0.39997558519241921"/>
      </top>
      <bottom style="thin">
        <color theme="9" tint="0.39997558519241921"/>
      </bottom>
      <diagonal/>
    </border>
    <border>
      <left style="thin">
        <color theme="9" tint="0.39997558519241921"/>
      </left>
      <right style="medium">
        <color theme="9" tint="0.39997558519241921"/>
      </right>
      <top style="thin">
        <color theme="9" tint="0.39997558519241921"/>
      </top>
      <bottom/>
      <diagonal/>
    </border>
    <border>
      <left/>
      <right style="medium">
        <color theme="4"/>
      </right>
      <top/>
      <bottom style="thin">
        <color theme="4"/>
      </bottom>
      <diagonal/>
    </border>
    <border>
      <left style="medium">
        <color theme="4"/>
      </left>
      <right/>
      <top/>
      <bottom style="thin">
        <color theme="4"/>
      </bottom>
      <diagonal/>
    </border>
    <border>
      <left style="medium">
        <color theme="4"/>
      </left>
      <right/>
      <top style="thin">
        <color theme="4"/>
      </top>
      <bottom style="thin">
        <color theme="4"/>
      </bottom>
      <diagonal/>
    </border>
    <border>
      <left/>
      <right style="medium">
        <color theme="4"/>
      </right>
      <top style="medium">
        <color theme="4"/>
      </top>
      <bottom/>
      <diagonal/>
    </border>
    <border>
      <left style="thin">
        <color theme="2" tint="0.39997558519241921"/>
      </left>
      <right/>
      <top style="thin">
        <color theme="2" tint="0.3999755851924192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theme="6" tint="-0.249977111117893"/>
      </right>
      <top/>
      <bottom/>
      <diagonal/>
    </border>
    <border>
      <left/>
      <right style="medium">
        <color indexed="64"/>
      </right>
      <top style="medium">
        <color indexed="64"/>
      </top>
      <bottom style="medium">
        <color indexed="64"/>
      </bottom>
      <diagonal/>
    </border>
    <border>
      <left/>
      <right/>
      <top style="dotted">
        <color theme="2" tint="0.39997558519241921"/>
      </top>
      <bottom/>
      <diagonal/>
    </border>
    <border>
      <left style="thin">
        <color theme="2" tint="0.39997558519241921"/>
      </left>
      <right style="thin">
        <color theme="2" tint="0.39997558519241921"/>
      </right>
      <top style="dotted">
        <color theme="2" tint="0.39997558519241921"/>
      </top>
      <bottom style="thin">
        <color theme="2" tint="0.39997558519241921"/>
      </bottom>
      <diagonal/>
    </border>
    <border>
      <left/>
      <right/>
      <top style="dotted">
        <color theme="2" tint="0.39997558519241921"/>
      </top>
      <bottom style="thin">
        <color theme="2" tint="0.39997558519241921"/>
      </bottom>
      <diagonal/>
    </border>
    <border>
      <left/>
      <right style="dotted">
        <color theme="2" tint="0.39997558519241921"/>
      </right>
      <top style="thin">
        <color theme="2" tint="0.39997558519241921"/>
      </top>
      <bottom/>
      <diagonal/>
    </border>
    <border>
      <left/>
      <right style="dotted">
        <color theme="2" tint="0.39997558519241921"/>
      </right>
      <top/>
      <bottom/>
      <diagonal/>
    </border>
    <border>
      <left style="dotted">
        <color theme="2" tint="0.39997558519241921"/>
      </left>
      <right/>
      <top style="dotted">
        <color theme="2" tint="0.39997558519241921"/>
      </top>
      <bottom/>
      <diagonal/>
    </border>
    <border>
      <left/>
      <right style="dotted">
        <color theme="2" tint="0.39997558519241921"/>
      </right>
      <top style="dotted">
        <color theme="2" tint="0.39997558519241921"/>
      </top>
      <bottom/>
      <diagonal/>
    </border>
    <border>
      <left style="dotted">
        <color theme="2" tint="0.39997558519241921"/>
      </left>
      <right/>
      <top style="dotted">
        <color theme="2" tint="0.39997558519241921"/>
      </top>
      <bottom style="thin">
        <color theme="2" tint="0.39997558519241921"/>
      </bottom>
      <diagonal/>
    </border>
    <border>
      <left/>
      <right style="dotted">
        <color theme="2" tint="0.39997558519241921"/>
      </right>
      <top style="dotted">
        <color theme="2" tint="0.39997558519241921"/>
      </top>
      <bottom style="thin">
        <color theme="2" tint="0.39997558519241921"/>
      </bottom>
      <diagonal/>
    </border>
    <border>
      <left style="dotted">
        <color theme="2" tint="0.39997558519241921"/>
      </left>
      <right style="thin">
        <color theme="2" tint="0.39997558519241921"/>
      </right>
      <top style="dotted">
        <color theme="2" tint="0.39997558519241921"/>
      </top>
      <bottom style="thin">
        <color theme="2" tint="0.39997558519241921"/>
      </bottom>
      <diagonal/>
    </border>
    <border>
      <left style="dotted">
        <color theme="2" tint="0.39997558519241921"/>
      </left>
      <right style="thin">
        <color theme="2" tint="0.39997558519241921"/>
      </right>
      <top style="dotted">
        <color theme="2" tint="0.39997558519241921"/>
      </top>
      <bottom/>
      <diagonal/>
    </border>
    <border>
      <left style="thin">
        <color theme="2" tint="0.39997558519241921"/>
      </left>
      <right style="thin">
        <color theme="2" tint="0.39997558519241921"/>
      </right>
      <top style="dotted">
        <color theme="2" tint="0.39997558519241921"/>
      </top>
      <bottom/>
      <diagonal/>
    </border>
    <border>
      <left style="thin">
        <color theme="2" tint="0.39997558519241921"/>
      </left>
      <right style="dotted">
        <color theme="2" tint="0.39997558519241921"/>
      </right>
      <top style="thin">
        <color theme="2" tint="0.39997558519241921"/>
      </top>
      <bottom/>
      <diagonal/>
    </border>
    <border>
      <left style="thin">
        <color theme="2" tint="-0.249977111117893"/>
      </left>
      <right style="thin">
        <color theme="2" tint="0.39997558519241921"/>
      </right>
      <top/>
      <bottom/>
      <diagonal/>
    </border>
    <border>
      <left style="thin">
        <color theme="2" tint="0.39997558519241921"/>
      </left>
      <right style="dotted">
        <color theme="2" tint="0.39997558519241921"/>
      </right>
      <top/>
      <bottom style="thin">
        <color theme="2" tint="0.39997558519241921"/>
      </bottom>
      <diagonal/>
    </border>
    <border>
      <left/>
      <right/>
      <top style="thin">
        <color theme="2" tint="0.39997558519241921"/>
      </top>
      <bottom style="dotted">
        <color theme="2" tint="0.39997558519241921"/>
      </bottom>
      <diagonal/>
    </border>
    <border>
      <left style="thin">
        <color theme="2" tint="0.39997558519241921"/>
      </left>
      <right style="thin">
        <color theme="2" tint="0.39997558519241921"/>
      </right>
      <top style="thin">
        <color theme="2" tint="0.39997558519241921"/>
      </top>
      <bottom style="dotted">
        <color theme="2" tint="0.39997558519241921"/>
      </bottom>
      <diagonal/>
    </border>
    <border>
      <left/>
      <right style="thin">
        <color theme="2" tint="0.39997558519241921"/>
      </right>
      <top style="thin">
        <color theme="2" tint="0.39997558519241921"/>
      </top>
      <bottom style="dotted">
        <color theme="2" tint="0.39997558519241921"/>
      </bottom>
      <diagonal/>
    </border>
    <border>
      <left style="thin">
        <color theme="2" tint="0.39997558519241921"/>
      </left>
      <right style="thin">
        <color theme="2" tint="-0.249977111117893"/>
      </right>
      <top style="dotted">
        <color theme="2" tint="0.39997558519241921"/>
      </top>
      <bottom style="thin">
        <color theme="2" tint="0.39997558519241921"/>
      </bottom>
      <diagonal/>
    </border>
    <border>
      <left style="thin">
        <color theme="2" tint="0.39997558519241921"/>
      </left>
      <right style="dotted">
        <color theme="2" tint="0.39997558519241921"/>
      </right>
      <top style="thin">
        <color theme="2" tint="0.39997558519241921"/>
      </top>
      <bottom style="dotted">
        <color theme="2" tint="0.39997558519241921"/>
      </bottom>
      <diagonal/>
    </border>
    <border>
      <left style="dotted">
        <color theme="2" tint="0.39997558519241921"/>
      </left>
      <right style="thin">
        <color theme="2" tint="0.39997558519241921"/>
      </right>
      <top style="thin">
        <color theme="2" tint="0.39997558519241921"/>
      </top>
      <bottom style="dotted">
        <color theme="2" tint="0.39997558519241921"/>
      </bottom>
      <diagonal/>
    </border>
    <border>
      <left style="dotted">
        <color theme="2" tint="0.39997558519241921"/>
      </left>
      <right style="thin">
        <color theme="2" tint="0.39997558519241921"/>
      </right>
      <top style="dotted">
        <color theme="2" tint="0.39997558519241921"/>
      </top>
      <bottom style="dotted">
        <color theme="2" tint="0.39997558519241921"/>
      </bottom>
      <diagonal/>
    </border>
    <border>
      <left style="thin">
        <color theme="2" tint="0.39997558519241921"/>
      </left>
      <right style="thin">
        <color theme="2" tint="0.39997558519241921"/>
      </right>
      <top style="dotted">
        <color theme="2" tint="0.39997558519241921"/>
      </top>
      <bottom style="dotted">
        <color theme="2" tint="0.39997558519241921"/>
      </bottom>
      <diagonal/>
    </border>
    <border>
      <left style="dotted">
        <color theme="2" tint="0.39997558519241921"/>
      </left>
      <right/>
      <top style="thin">
        <color theme="2" tint="0.39997558519241921"/>
      </top>
      <bottom style="dotted">
        <color theme="2" tint="0.39997558519241921"/>
      </bottom>
      <diagonal/>
    </border>
    <border>
      <left style="thin">
        <color theme="2" tint="0.39997558519241921"/>
      </left>
      <right style="thin">
        <color theme="2" tint="-0.249977111117893"/>
      </right>
      <top/>
      <bottom/>
      <diagonal/>
    </border>
    <border>
      <left style="thin">
        <color theme="2" tint="-0.249977111117893"/>
      </left>
      <right style="thin">
        <color theme="2" tint="0.39997558519241921"/>
      </right>
      <top style="thin">
        <color theme="2" tint="-0.249977111117893"/>
      </top>
      <bottom/>
      <diagonal/>
    </border>
    <border>
      <left style="medium">
        <color theme="4"/>
      </left>
      <right style="thin">
        <color theme="4" tint="0.79998168889431442"/>
      </right>
      <top/>
      <bottom/>
      <diagonal/>
    </border>
    <border>
      <left style="medium">
        <color theme="4"/>
      </left>
      <right style="thin">
        <color theme="4" tint="0.79998168889431442"/>
      </right>
      <top style="thin">
        <color theme="4"/>
      </top>
      <bottom style="thin">
        <color theme="4"/>
      </bottom>
      <diagonal/>
    </border>
    <border>
      <left style="medium">
        <color theme="4"/>
      </left>
      <right style="thin">
        <color theme="4" tint="0.79998168889431442"/>
      </right>
      <top style="thin">
        <color theme="4"/>
      </top>
      <bottom style="medium">
        <color theme="4"/>
      </bottom>
      <diagonal/>
    </border>
    <border>
      <left/>
      <right style="dotted">
        <color theme="2" tint="0.39997558519241921"/>
      </right>
      <top style="thin">
        <color theme="2" tint="0.39997558519241921"/>
      </top>
      <bottom style="dotted">
        <color theme="2" tint="0.39997558519241921"/>
      </bottom>
      <diagonal/>
    </border>
    <border>
      <left/>
      <right/>
      <top style="dotted">
        <color theme="2" tint="0.39997558519241921"/>
      </top>
      <bottom style="dotted">
        <color theme="2" tint="0.39997558519241921"/>
      </bottom>
      <diagonal/>
    </border>
    <border>
      <left/>
      <right style="dotted">
        <color theme="2" tint="0.39997558519241921"/>
      </right>
      <top style="dotted">
        <color theme="2" tint="0.39997558519241921"/>
      </top>
      <bottom style="dotted">
        <color theme="2" tint="0.39997558519241921"/>
      </bottom>
      <diagonal/>
    </border>
    <border>
      <left style="dotted">
        <color theme="2" tint="0.39997558519241921"/>
      </left>
      <right/>
      <top style="dotted">
        <color theme="2" tint="0.39997558519241921"/>
      </top>
      <bottom style="dotted">
        <color theme="2" tint="0.39997558519241921"/>
      </bottom>
      <diagonal/>
    </border>
    <border>
      <left/>
      <right style="thin">
        <color theme="2" tint="0.39997558519241921"/>
      </right>
      <top style="dotted">
        <color theme="2" tint="0.39997558519241921"/>
      </top>
      <bottom style="dotted">
        <color theme="2" tint="0.39997558519241921"/>
      </bottom>
      <diagonal/>
    </border>
    <border>
      <left/>
      <right style="thin">
        <color theme="2" tint="0.39997558519241921"/>
      </right>
      <top style="dotted">
        <color theme="2" tint="0.39997558519241921"/>
      </top>
      <bottom style="thin">
        <color theme="2" tint="0.39997558519241921"/>
      </bottom>
      <diagonal/>
    </border>
    <border>
      <left style="thin">
        <color theme="2" tint="0.39997558519241921"/>
      </left>
      <right/>
      <top style="thin">
        <color theme="2" tint="0.39997558519241921"/>
      </top>
      <bottom style="dotted">
        <color theme="2" tint="0.39997558519241921"/>
      </bottom>
      <diagonal/>
    </border>
    <border>
      <left style="thin">
        <color theme="2" tint="0.39997558519241921"/>
      </left>
      <right style="thin">
        <color theme="2" tint="-0.249977111117893"/>
      </right>
      <top style="thin">
        <color theme="2" tint="0.39997558519241921"/>
      </top>
      <bottom style="dotted">
        <color theme="2" tint="0.39997558519241921"/>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style="thin">
        <color theme="2" tint="-0.249977111117893"/>
      </left>
      <right/>
      <top/>
      <bottom style="medium">
        <color theme="6" tint="-0.249977111117893"/>
      </bottom>
      <diagonal/>
    </border>
    <border>
      <left style="thin">
        <color theme="2" tint="0.39997558519241921"/>
      </left>
      <right style="thin">
        <color theme="2" tint="0.39997558519241921"/>
      </right>
      <top style="thin">
        <color theme="2" tint="0.39997558519241921"/>
      </top>
      <bottom style="dotted">
        <color theme="2" tint="-0.249977111117893"/>
      </bottom>
      <diagonal/>
    </border>
    <border>
      <left style="thin">
        <color theme="2" tint="0.39997558519241921"/>
      </left>
      <right/>
      <top style="dotted">
        <color theme="2" tint="-0.249977111117893"/>
      </top>
      <bottom style="thin">
        <color theme="2" tint="-0.249977111117893"/>
      </bottom>
      <diagonal/>
    </border>
    <border>
      <left/>
      <right style="thin">
        <color theme="2" tint="0.39997558519241921"/>
      </right>
      <top style="dotted">
        <color theme="2" tint="-0.249977111117893"/>
      </top>
      <bottom style="thin">
        <color theme="2" tint="-0.249977111117893"/>
      </bottom>
      <diagonal/>
    </border>
    <border>
      <left style="thin">
        <color theme="2" tint="-0.249977111117893"/>
      </left>
      <right style="dotted">
        <color theme="2" tint="-0.249977111117893"/>
      </right>
      <top style="medium">
        <color theme="2" tint="-0.249977111117893"/>
      </top>
      <bottom style="thin">
        <color theme="2" tint="-0.249977111117893"/>
      </bottom>
      <diagonal/>
    </border>
    <border>
      <left style="thin">
        <color theme="2" tint="-0.249977111117893"/>
      </left>
      <right style="dotted">
        <color theme="2" tint="-0.249977111117893"/>
      </right>
      <top/>
      <bottom style="thin">
        <color theme="2" tint="-0.249977111117893"/>
      </bottom>
      <diagonal/>
    </border>
    <border>
      <left style="thin">
        <color theme="2" tint="-0.249977111117893"/>
      </left>
      <right style="dotted">
        <color theme="2" tint="-0.249977111117893"/>
      </right>
      <top style="medium">
        <color theme="2" tint="-0.249977111117893"/>
      </top>
      <bottom style="medium">
        <color theme="2" tint="-0.249977111117893"/>
      </bottom>
      <diagonal/>
    </border>
    <border>
      <left style="dotted">
        <color theme="2" tint="-0.249977111117893"/>
      </left>
      <right style="dotted">
        <color theme="2" tint="-0.249977111117893"/>
      </right>
      <top style="medium">
        <color theme="2" tint="-0.249977111117893"/>
      </top>
      <bottom style="medium">
        <color theme="2" tint="-0.249977111117893"/>
      </bottom>
      <diagonal/>
    </border>
    <border>
      <left/>
      <right style="medium">
        <color theme="2" tint="-0.249977111117893"/>
      </right>
      <top style="medium">
        <color theme="2" tint="-0.249977111117893"/>
      </top>
      <bottom style="thin">
        <color theme="2" tint="-0.249977111117893"/>
      </bottom>
      <diagonal/>
    </border>
    <border>
      <left style="dotted">
        <color theme="2" tint="-0.249977111117893"/>
      </left>
      <right style="dotted">
        <color theme="2" tint="-0.249977111117893"/>
      </right>
      <top/>
      <bottom style="thin">
        <color theme="2" tint="-0.249977111117893"/>
      </bottom>
      <diagonal/>
    </border>
    <border>
      <left/>
      <right style="thin">
        <color theme="2" tint="-0.249977111117893"/>
      </right>
      <top style="medium">
        <color theme="6" tint="-0.249977111117893"/>
      </top>
      <bottom/>
      <diagonal/>
    </border>
    <border>
      <left/>
      <right style="dotted">
        <color theme="2" tint="-0.249977111117893"/>
      </right>
      <top/>
      <bottom style="thin">
        <color theme="2" tint="-0.249977111117893"/>
      </bottom>
      <diagonal/>
    </border>
    <border>
      <left/>
      <right style="dotted">
        <color theme="2" tint="-0.249977111117893"/>
      </right>
      <top style="medium">
        <color theme="2" tint="-0.249977111117893"/>
      </top>
      <bottom style="medium">
        <color theme="2" tint="-0.249977111117893"/>
      </bottom>
      <diagonal/>
    </border>
    <border>
      <left style="dotted">
        <color theme="2" tint="-0.249977111117893"/>
      </left>
      <right style="medium">
        <color theme="2" tint="-0.249977111117893"/>
      </right>
      <top style="medium">
        <color theme="2" tint="-0.249977111117893"/>
      </top>
      <bottom style="medium">
        <color theme="2" tint="-0.249977111117893"/>
      </bottom>
      <diagonal/>
    </border>
    <border>
      <left style="medium">
        <color theme="2" tint="-0.249977111117893"/>
      </left>
      <right/>
      <top style="thin">
        <color theme="2" tint="-0.249977111117893"/>
      </top>
      <bottom style="thin">
        <color theme="2" tint="-0.249977111117893"/>
      </bottom>
      <diagonal/>
    </border>
    <border>
      <left style="medium">
        <color theme="2" tint="-0.249977111117893"/>
      </left>
      <right/>
      <top style="thin">
        <color theme="2" tint="-0.249977111117893"/>
      </top>
      <bottom style="medium">
        <color theme="2" tint="-0.249977111117893"/>
      </bottom>
      <diagonal/>
    </border>
    <border>
      <left/>
      <right/>
      <top style="thin">
        <color theme="2" tint="-0.249977111117893"/>
      </top>
      <bottom style="medium">
        <color theme="2" tint="-0.249977111117893"/>
      </bottom>
      <diagonal/>
    </border>
    <border>
      <left/>
      <right style="thin">
        <color theme="2" tint="-0.249977111117893"/>
      </right>
      <top style="thin">
        <color theme="2" tint="-0.249977111117893"/>
      </top>
      <bottom style="medium">
        <color theme="2" tint="-0.249977111117893"/>
      </bottom>
      <diagonal/>
    </border>
    <border>
      <left/>
      <right/>
      <top/>
      <bottom style="thin">
        <color indexed="64"/>
      </bottom>
      <diagonal/>
    </border>
    <border>
      <left/>
      <right style="thin">
        <color theme="2" tint="-0.249977111117893"/>
      </right>
      <top style="thin">
        <color indexed="64"/>
      </top>
      <bottom/>
      <diagonal/>
    </border>
    <border>
      <left style="thin">
        <color theme="2" tint="0.39997558519241921"/>
      </left>
      <right/>
      <top style="thin">
        <color indexed="64"/>
      </top>
      <bottom/>
      <diagonal/>
    </border>
    <border>
      <left style="thin">
        <color theme="2" tint="0.39997558519241921"/>
      </left>
      <right/>
      <top/>
      <bottom style="thin">
        <color indexed="64"/>
      </bottom>
      <diagonal/>
    </border>
    <border>
      <left style="thin">
        <color theme="2" tint="-0.249977111117893"/>
      </left>
      <right style="thin">
        <color theme="2" tint="-0.249977111117893"/>
      </right>
      <top style="thin">
        <color indexed="64"/>
      </top>
      <bottom/>
      <diagonal/>
    </border>
    <border>
      <left style="thin">
        <color theme="2" tint="-0.249977111117893"/>
      </left>
      <right style="thin">
        <color theme="2" tint="0.39997558519241921"/>
      </right>
      <top style="thin">
        <color indexed="64"/>
      </top>
      <bottom/>
      <diagonal/>
    </border>
    <border>
      <left style="thin">
        <color theme="2" tint="-0.249977111117893"/>
      </left>
      <right style="thin">
        <color theme="2" tint="0.39997558519241921"/>
      </right>
      <top style="thin">
        <color theme="2" tint="0.39997558519241921"/>
      </top>
      <bottom style="thin">
        <color indexed="64"/>
      </bottom>
      <diagonal/>
    </border>
    <border>
      <left style="thin">
        <color theme="2" tint="-0.249977111117893"/>
      </left>
      <right/>
      <top style="thin">
        <color indexed="64"/>
      </top>
      <bottom/>
      <diagonal/>
    </border>
    <border>
      <left/>
      <right style="medium">
        <color theme="4"/>
      </right>
      <top style="thin">
        <color theme="4"/>
      </top>
      <bottom/>
      <diagonal/>
    </border>
    <border>
      <left style="thin">
        <color theme="4" tint="0.79998168889431442"/>
      </left>
      <right style="medium">
        <color theme="4"/>
      </right>
      <top/>
      <bottom style="thin">
        <color theme="4"/>
      </bottom>
      <diagonal/>
    </border>
    <border>
      <left style="thin">
        <color theme="4" tint="0.79998168889431442"/>
      </left>
      <right style="thin">
        <color theme="4"/>
      </right>
      <top/>
      <bottom style="thin">
        <color theme="4"/>
      </bottom>
      <diagonal/>
    </border>
    <border>
      <left style="medium">
        <color theme="4"/>
      </left>
      <right style="thin">
        <color theme="4" tint="0.79998168889431442"/>
      </right>
      <top style="medium">
        <color theme="4"/>
      </top>
      <bottom style="thin">
        <color theme="4"/>
      </bottom>
      <diagonal/>
    </border>
    <border>
      <left/>
      <right/>
      <top style="thin">
        <color indexed="64"/>
      </top>
      <bottom style="thin">
        <color theme="2" tint="-0.249977111117893"/>
      </bottom>
      <diagonal/>
    </border>
    <border>
      <left/>
      <right style="medium">
        <color theme="4"/>
      </right>
      <top style="medium">
        <color theme="4"/>
      </top>
      <bottom style="medium">
        <color theme="4"/>
      </bottom>
      <diagonal/>
    </border>
    <border>
      <left style="thin">
        <color theme="4" tint="0.79998168889431442"/>
      </left>
      <right style="medium">
        <color theme="4"/>
      </right>
      <top/>
      <bottom/>
      <diagonal/>
    </border>
    <border>
      <left style="thin">
        <color theme="4" tint="0.79998168889431442"/>
      </left>
      <right style="thin">
        <color theme="4"/>
      </right>
      <top/>
      <bottom/>
      <diagonal/>
    </border>
    <border>
      <left style="thin">
        <color theme="2" tint="-0.249977111117893"/>
      </left>
      <right style="thin">
        <color theme="2" tint="-0.249977111117893"/>
      </right>
      <top style="thin">
        <color indexed="64"/>
      </top>
      <bottom style="mediumDashed">
        <color theme="2" tint="-0.249977111117893"/>
      </bottom>
      <diagonal/>
    </border>
    <border>
      <left style="thin">
        <color theme="2" tint="-0.249977111117893"/>
      </left>
      <right style="mediumDashed">
        <color theme="2" tint="-0.249977111117893"/>
      </right>
      <top style="thin">
        <color indexed="64"/>
      </top>
      <bottom style="thin">
        <color indexed="64"/>
      </bottom>
      <diagonal/>
    </border>
    <border>
      <left style="thin">
        <color theme="2" tint="-0.249977111117893"/>
      </left>
      <right style="mediumDashed">
        <color theme="2" tint="-0.249977111117893"/>
      </right>
      <top style="thin">
        <color indexed="64"/>
      </top>
      <bottom style="thin">
        <color theme="2" tint="-0.249977111117893"/>
      </bottom>
      <diagonal/>
    </border>
    <border>
      <left style="thin">
        <color theme="2" tint="-0.249977111117893"/>
      </left>
      <right style="mediumDashed">
        <color theme="2" tint="-0.249977111117893"/>
      </right>
      <top style="thin">
        <color theme="2" tint="-0.249977111117893"/>
      </top>
      <bottom style="thin">
        <color theme="2" tint="-0.249977111117893"/>
      </bottom>
      <diagonal/>
    </border>
    <border>
      <left style="thin">
        <color theme="2" tint="-0.249977111117893"/>
      </left>
      <right style="mediumDashed">
        <color theme="2" tint="-0.249977111117893"/>
      </right>
      <top style="thin">
        <color theme="2" tint="-0.249977111117893"/>
      </top>
      <bottom/>
      <diagonal/>
    </border>
    <border>
      <left style="thin">
        <color theme="2" tint="-0.249977111117893"/>
      </left>
      <right style="mediumDashed">
        <color theme="2" tint="-0.249977111117893"/>
      </right>
      <top style="thin">
        <color theme="2" tint="-0.249977111117893"/>
      </top>
      <bottom style="thin">
        <color indexed="64"/>
      </bottom>
      <diagonal/>
    </border>
    <border>
      <left style="thin">
        <color indexed="64"/>
      </left>
      <right/>
      <top/>
      <bottom style="thin">
        <color indexed="64"/>
      </bottom>
      <diagonal/>
    </border>
    <border>
      <left style="thin">
        <color theme="2" tint="0.39997558519241921"/>
      </left>
      <right style="thin">
        <color theme="2" tint="0.39997558519241921"/>
      </right>
      <top/>
      <bottom style="dotted">
        <color theme="2" tint="0.39997558519241921"/>
      </bottom>
      <diagonal/>
    </border>
    <border>
      <left style="thin">
        <color theme="2" tint="0.39997558519241921"/>
      </left>
      <right/>
      <top style="dotted">
        <color theme="2" tint="0.39997558519241921"/>
      </top>
      <bottom style="thin">
        <color theme="2" tint="-0.249977111117893"/>
      </bottom>
      <diagonal/>
    </border>
    <border>
      <left/>
      <right style="thin">
        <color theme="2" tint="0.39997558519241921"/>
      </right>
      <top style="dotted">
        <color theme="2" tint="0.39997558519241921"/>
      </top>
      <bottom style="thin">
        <color theme="2" tint="-0.249977111117893"/>
      </bottom>
      <diagonal/>
    </border>
    <border>
      <left style="thin">
        <color theme="2" tint="0.39997558519241921"/>
      </left>
      <right style="thin">
        <color theme="2" tint="0.39997558519241921"/>
      </right>
      <top/>
      <bottom/>
      <diagonal/>
    </border>
    <border>
      <left style="thin">
        <color theme="2" tint="-0.249977111117893"/>
      </left>
      <right style="thin">
        <color theme="2" tint="0.39997558519241921"/>
      </right>
      <top style="dashed">
        <color theme="2" tint="-0.249977111117893"/>
      </top>
      <bottom/>
      <diagonal/>
    </border>
    <border>
      <left style="thin">
        <color theme="2" tint="0.39997558519241921"/>
      </left>
      <right style="thin">
        <color theme="2" tint="0.39997558519241921"/>
      </right>
      <top style="dashed">
        <color theme="2" tint="-0.249977111117893"/>
      </top>
      <bottom/>
      <diagonal/>
    </border>
    <border>
      <left style="thin">
        <color theme="2" tint="0.39997558519241921"/>
      </left>
      <right style="thin">
        <color theme="7" tint="-0.249977111117893"/>
      </right>
      <top style="dashed">
        <color theme="2" tint="-0.249977111117893"/>
      </top>
      <bottom/>
      <diagonal/>
    </border>
    <border>
      <left style="thin">
        <color theme="2" tint="-0.249977111117893"/>
      </left>
      <right style="thin">
        <color theme="2" tint="0.39997558519241921"/>
      </right>
      <top style="dashed">
        <color theme="2" tint="-0.249977111117893"/>
      </top>
      <bottom style="thin">
        <color theme="2" tint="-0.249977111117893"/>
      </bottom>
      <diagonal/>
    </border>
    <border>
      <left style="thin">
        <color theme="2" tint="0.39997558519241921"/>
      </left>
      <right style="thin">
        <color theme="2" tint="0.39997558519241921"/>
      </right>
      <top style="dashed">
        <color theme="2" tint="-0.249977111117893"/>
      </top>
      <bottom style="thin">
        <color theme="2" tint="-0.249977111117893"/>
      </bottom>
      <diagonal/>
    </border>
    <border>
      <left style="thin">
        <color theme="2" tint="0.39997558519241921"/>
      </left>
      <right style="thin">
        <color theme="7" tint="-0.249977111117893"/>
      </right>
      <top style="dashed">
        <color theme="2" tint="-0.249977111117893"/>
      </top>
      <bottom style="thin">
        <color theme="2" tint="-0.249977111117893"/>
      </bottom>
      <diagonal/>
    </border>
    <border>
      <left style="thin">
        <color theme="2" tint="-0.249977111117893"/>
      </left>
      <right style="thin">
        <color theme="2" tint="0.39997558519241921"/>
      </right>
      <top style="thin">
        <color theme="2" tint="-0.249977111117893"/>
      </top>
      <bottom style="thin">
        <color theme="7" tint="-0.249977111117893"/>
      </bottom>
      <diagonal/>
    </border>
    <border>
      <left style="thin">
        <color theme="2" tint="0.39997558519241921"/>
      </left>
      <right style="thin">
        <color theme="2" tint="0.39997558519241921"/>
      </right>
      <top style="thin">
        <color theme="2" tint="-0.249977111117893"/>
      </top>
      <bottom style="thin">
        <color theme="7" tint="-0.249977111117893"/>
      </bottom>
      <diagonal/>
    </border>
    <border>
      <left style="thin">
        <color theme="2" tint="0.39997558519241921"/>
      </left>
      <right/>
      <top style="thin">
        <color theme="2" tint="-0.249977111117893"/>
      </top>
      <bottom style="thin">
        <color theme="7" tint="-0.249977111117893"/>
      </bottom>
      <diagonal/>
    </border>
    <border>
      <left style="thin">
        <color theme="2" tint="0.39997558519241921"/>
      </left>
      <right style="thin">
        <color theme="2" tint="-0.249977111117893"/>
      </right>
      <top style="thin">
        <color theme="2" tint="-0.249977111117893"/>
      </top>
      <bottom style="thin">
        <color theme="7" tint="-0.249977111117893"/>
      </bottom>
      <diagonal/>
    </border>
    <border>
      <left style="thin">
        <color theme="2" tint="0.39997558519241921"/>
      </left>
      <right style="thin">
        <color theme="2" tint="-0.249977111117893"/>
      </right>
      <top style="thin">
        <color theme="2" tint="-0.249977111117893"/>
      </top>
      <bottom/>
      <diagonal/>
    </border>
    <border>
      <left style="thin">
        <color theme="7" tint="-0.249977111117893"/>
      </left>
      <right style="thin">
        <color theme="7" tint="-0.249977111117893"/>
      </right>
      <top style="thin">
        <color theme="7" tint="-0.249977111117893"/>
      </top>
      <bottom style="dashed">
        <color theme="7" tint="0.39997558519241921"/>
      </bottom>
      <diagonal/>
    </border>
    <border>
      <left style="thin">
        <color theme="7" tint="-0.249977111117893"/>
      </left>
      <right style="thin">
        <color theme="2" tint="-0.249977111117893"/>
      </right>
      <top style="thin">
        <color theme="7" tint="-0.249977111117893"/>
      </top>
      <bottom style="dashed">
        <color theme="7" tint="0.39997558519241921"/>
      </bottom>
      <diagonal/>
    </border>
    <border>
      <left style="thin">
        <color theme="7" tint="-0.249977111117893"/>
      </left>
      <right style="thin">
        <color theme="7" tint="-0.249977111117893"/>
      </right>
      <top style="dashed">
        <color theme="7" tint="0.39997558519241921"/>
      </top>
      <bottom style="dashed">
        <color theme="7" tint="0.39997558519241921"/>
      </bottom>
      <diagonal/>
    </border>
    <border>
      <left style="thin">
        <color theme="7" tint="-0.249977111117893"/>
      </left>
      <right style="thin">
        <color theme="2" tint="-0.249977111117893"/>
      </right>
      <top style="dashed">
        <color theme="7" tint="0.39997558519241921"/>
      </top>
      <bottom style="dashed">
        <color theme="7" tint="0.39997558519241921"/>
      </bottom>
      <diagonal/>
    </border>
    <border>
      <left style="thin">
        <color theme="7" tint="-0.249977111117893"/>
      </left>
      <right/>
      <top style="dashed">
        <color theme="7" tint="0.39997558519241921"/>
      </top>
      <bottom style="thin">
        <color theme="2" tint="-0.249977111117893"/>
      </bottom>
      <diagonal/>
    </border>
    <border>
      <left/>
      <right/>
      <top style="dashed">
        <color theme="7" tint="0.39997558519241921"/>
      </top>
      <bottom style="thin">
        <color theme="2" tint="-0.249977111117893"/>
      </bottom>
      <diagonal/>
    </border>
    <border>
      <left/>
      <right style="thin">
        <color theme="7" tint="-0.249977111117893"/>
      </right>
      <top style="dashed">
        <color theme="7" tint="0.39997558519241921"/>
      </top>
      <bottom style="thin">
        <color theme="2" tint="-0.249977111117893"/>
      </bottom>
      <diagonal/>
    </border>
    <border>
      <left style="thin">
        <color theme="7" tint="-0.249977111117893"/>
      </left>
      <right style="thin">
        <color theme="7" tint="-0.249977111117893"/>
      </right>
      <top/>
      <bottom style="thin">
        <color theme="2" tint="-0.249977111117893"/>
      </bottom>
      <diagonal/>
    </border>
    <border>
      <left style="thin">
        <color theme="7" tint="-0.249977111117893"/>
      </left>
      <right style="thin">
        <color theme="2" tint="-0.249977111117893"/>
      </right>
      <top/>
      <bottom style="thin">
        <color theme="2" tint="-0.249977111117893"/>
      </bottom>
      <diagonal/>
    </border>
    <border>
      <left style="mediumDashed">
        <color theme="3" tint="0.39997558519241921"/>
      </left>
      <right style="mediumDashed">
        <color theme="3" tint="0.39997558519241921"/>
      </right>
      <top style="mediumDashed">
        <color theme="3" tint="0.39997558519241921"/>
      </top>
      <bottom style="mediumDashed">
        <color theme="3" tint="0.39997558519241921"/>
      </bottom>
      <diagonal/>
    </border>
    <border>
      <left/>
      <right style="mediumDashed">
        <color theme="3" tint="0.39997558519241921"/>
      </right>
      <top/>
      <bottom/>
      <diagonal/>
    </border>
    <border>
      <left style="mediumDashed">
        <color theme="3" tint="0.39997558519241921"/>
      </left>
      <right/>
      <top style="thin">
        <color theme="7" tint="-0.249977111117893"/>
      </top>
      <bottom style="thin">
        <color theme="7" tint="-0.249977111117893"/>
      </bottom>
      <diagonal/>
    </border>
    <border>
      <left style="medium">
        <color theme="6" tint="-0.249977111117893"/>
      </left>
      <right/>
      <top/>
      <bottom style="thin">
        <color theme="6" tint="-0.249977111117893"/>
      </bottom>
      <diagonal/>
    </border>
    <border>
      <left/>
      <right/>
      <top/>
      <bottom style="thin">
        <color theme="6" tint="-0.249977111117893"/>
      </bottom>
      <diagonal/>
    </border>
    <border>
      <left/>
      <right style="medium">
        <color theme="6" tint="-0.249977111117893"/>
      </right>
      <top/>
      <bottom style="thin">
        <color theme="6" tint="-0.249977111117893"/>
      </bottom>
      <diagonal/>
    </border>
    <border>
      <left style="mediumDashed">
        <color theme="3" tint="0.39997558519241921"/>
      </left>
      <right style="mediumDashed">
        <color theme="3" tint="0.39997558519241921"/>
      </right>
      <top style="thin">
        <color theme="2" tint="-0.249977111117893"/>
      </top>
      <bottom style="mediumDashed">
        <color theme="3" tint="0.39997558519241921"/>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3" tint="0.39997558519241921"/>
      </left>
      <right/>
      <top/>
      <bottom style="thin">
        <color theme="3" tint="0.39997558519241921"/>
      </bottom>
      <diagonal/>
    </border>
    <border>
      <left style="thin">
        <color theme="3" tint="0.39997558519241921"/>
      </left>
      <right style="thin">
        <color theme="3" tint="0.39997558519241921"/>
      </right>
      <top style="thin">
        <color theme="3" tint="0.39997558519241921"/>
      </top>
      <bottom/>
      <diagonal/>
    </border>
    <border>
      <left/>
      <right style="thin">
        <color theme="3" tint="0.39997558519241921"/>
      </right>
      <top/>
      <bottom style="thin">
        <color theme="3" tint="0.39997558519241921"/>
      </bottom>
      <diagonal/>
    </border>
    <border>
      <left style="thin">
        <color theme="3" tint="0.39997558519241921"/>
      </left>
      <right style="thin">
        <color theme="3" tint="0.39997558519241921"/>
      </right>
      <top/>
      <bottom style="thin">
        <color theme="3" tint="0.39997558519241921"/>
      </bottom>
      <diagonal/>
    </border>
    <border>
      <left style="thin">
        <color theme="3" tint="0.39997558519241921"/>
      </left>
      <right style="thin">
        <color theme="3" tint="0.39997558519241921"/>
      </right>
      <top/>
      <bottom/>
      <diagonal/>
    </border>
    <border>
      <left style="mediumDashed">
        <color theme="3" tint="0.39997558519241921"/>
      </left>
      <right style="mediumDashed">
        <color theme="3" tint="0.39997558519241921"/>
      </right>
      <top style="mediumDashed">
        <color theme="3" tint="0.39997558519241921"/>
      </top>
      <bottom style="thin">
        <color theme="2" tint="-0.249977111117893"/>
      </bottom>
      <diagonal/>
    </border>
    <border>
      <left style="mediumDashed">
        <color theme="3" tint="0.39997558519241921"/>
      </left>
      <right style="mediumDashed">
        <color theme="3" tint="0.39997558519241921"/>
      </right>
      <top style="thin">
        <color theme="2" tint="-0.249977111117893"/>
      </top>
      <bottom style="thin">
        <color theme="2" tint="-0.249977111117893"/>
      </bottom>
      <diagonal/>
    </border>
    <border>
      <left style="mediumDashed">
        <color theme="3" tint="0.39997558519241921"/>
      </left>
      <right style="mediumDashed">
        <color theme="3" tint="0.39997558519241921"/>
      </right>
      <top style="thin">
        <color theme="2" tint="-0.249977111117893"/>
      </top>
      <bottom/>
      <diagonal/>
    </border>
    <border>
      <left/>
      <right style="thin">
        <color theme="3" tint="0.39997558519241921"/>
      </right>
      <top style="thin">
        <color theme="3" tint="0.39997558519241921"/>
      </top>
      <bottom style="thin">
        <color theme="3" tint="0.39997558519241921"/>
      </bottom>
      <diagonal/>
    </border>
    <border>
      <left style="thin">
        <color theme="4"/>
      </left>
      <right style="thin">
        <color theme="4"/>
      </right>
      <top/>
      <bottom/>
      <diagonal/>
    </border>
    <border>
      <left style="thin">
        <color theme="4"/>
      </left>
      <right/>
      <top/>
      <bottom/>
      <diagonal/>
    </border>
    <border>
      <left style="thin">
        <color theme="4"/>
      </left>
      <right style="thin">
        <color theme="4"/>
      </right>
      <top style="medium">
        <color theme="4"/>
      </top>
      <bottom style="thin">
        <color theme="4"/>
      </bottom>
      <diagonal/>
    </border>
    <border>
      <left style="medium">
        <color theme="4"/>
      </left>
      <right style="thin">
        <color theme="4"/>
      </right>
      <top style="thin">
        <color theme="4"/>
      </top>
      <bottom style="thin">
        <color theme="4"/>
      </bottom>
      <diagonal/>
    </border>
    <border>
      <left style="medium">
        <color theme="4"/>
      </left>
      <right style="thin">
        <color theme="4"/>
      </right>
      <top style="thin">
        <color theme="4"/>
      </top>
      <bottom style="medium">
        <color theme="4"/>
      </bottom>
      <diagonal/>
    </border>
    <border>
      <left style="thin">
        <color theme="4"/>
      </left>
      <right style="thin">
        <color theme="4"/>
      </right>
      <top/>
      <bottom style="medium">
        <color theme="4"/>
      </bottom>
      <diagonal/>
    </border>
    <border>
      <left style="thin">
        <color theme="4"/>
      </left>
      <right style="thin">
        <color theme="4"/>
      </right>
      <top style="medium">
        <color theme="4"/>
      </top>
      <bottom/>
      <diagonal/>
    </border>
    <border>
      <left style="thin">
        <color theme="4"/>
      </left>
      <right/>
      <top/>
      <bottom style="medium">
        <color theme="4"/>
      </bottom>
      <diagonal/>
    </border>
    <border>
      <left style="thin">
        <color theme="3" tint="0.39997558519241921"/>
      </left>
      <right style="medium">
        <color theme="3" tint="0.39997558519241921"/>
      </right>
      <top style="thin">
        <color theme="3" tint="0.39997558519241921"/>
      </top>
      <bottom style="thin">
        <color theme="3" tint="0.39997558519241921"/>
      </bottom>
      <diagonal/>
    </border>
    <border>
      <left style="thin">
        <color theme="3" tint="0.39997558519241921"/>
      </left>
      <right style="medium">
        <color theme="3" tint="0.39997558519241921"/>
      </right>
      <top style="thin">
        <color theme="3" tint="0.39997558519241921"/>
      </top>
      <bottom/>
      <diagonal/>
    </border>
    <border>
      <left style="thin">
        <color theme="3" tint="0.39997558519241921"/>
      </left>
      <right style="medium">
        <color theme="3" tint="0.39997558519241921"/>
      </right>
      <top/>
      <bottom/>
      <diagonal/>
    </border>
    <border>
      <left style="thin">
        <color theme="3" tint="0.39997558519241921"/>
      </left>
      <right style="medium">
        <color theme="3" tint="0.39997558519241921"/>
      </right>
      <top/>
      <bottom style="thin">
        <color theme="3" tint="0.39997558519241921"/>
      </bottom>
      <diagonal/>
    </border>
    <border>
      <left/>
      <right style="thin">
        <color theme="3" tint="0.39997558519241921"/>
      </right>
      <top/>
      <bottom/>
      <diagonal/>
    </border>
    <border>
      <left/>
      <right style="thin">
        <color theme="3" tint="0.39997558519241921"/>
      </right>
      <top style="thin">
        <color theme="3" tint="0.39997558519241921"/>
      </top>
      <bottom/>
      <diagonal/>
    </border>
    <border>
      <left style="medium">
        <color theme="3" tint="0.39997558519241921"/>
      </left>
      <right style="thin">
        <color theme="3" tint="0.39997558519241921"/>
      </right>
      <top style="thin">
        <color theme="3" tint="0.39997558519241921"/>
      </top>
      <bottom/>
      <diagonal/>
    </border>
    <border>
      <left style="medium">
        <color theme="3" tint="0.39997558519241921"/>
      </left>
      <right style="thin">
        <color theme="3" tint="0.39997558519241921"/>
      </right>
      <top/>
      <bottom/>
      <diagonal/>
    </border>
    <border>
      <left style="medium">
        <color theme="3" tint="0.39997558519241921"/>
      </left>
      <right style="thin">
        <color theme="3" tint="0.39997558519241921"/>
      </right>
      <top/>
      <bottom style="thin">
        <color theme="3" tint="0.39997558519241921"/>
      </bottom>
      <diagonal/>
    </border>
    <border>
      <left/>
      <right style="medium">
        <color theme="3" tint="0.39997558519241921"/>
      </right>
      <top style="thin">
        <color theme="3" tint="0.39997558519241921"/>
      </top>
      <bottom style="thin">
        <color theme="3" tint="0.39997558519241921"/>
      </bottom>
      <diagonal/>
    </border>
    <border>
      <left style="thin">
        <color theme="3" tint="0.39997558519241921"/>
      </left>
      <right/>
      <top style="thin">
        <color theme="3" tint="0.39997558519241921"/>
      </top>
      <bottom style="thin">
        <color theme="3" tint="0.39997558519241921"/>
      </bottom>
      <diagonal/>
    </border>
    <border>
      <left/>
      <right/>
      <top style="thin">
        <color theme="3" tint="0.39997558519241921"/>
      </top>
      <bottom style="thin">
        <color theme="3" tint="0.39997558519241921"/>
      </bottom>
      <diagonal/>
    </border>
    <border>
      <left style="medium">
        <color theme="3" tint="0.39997558519241921"/>
      </left>
      <right style="thin">
        <color theme="3" tint="0.39997558519241921"/>
      </right>
      <top style="thin">
        <color theme="3" tint="0.39997558519241921"/>
      </top>
      <bottom style="thin">
        <color theme="3" tint="0.39997558519241921"/>
      </bottom>
      <diagonal/>
    </border>
    <border>
      <left/>
      <right/>
      <top style="medium">
        <color theme="0"/>
      </top>
      <bottom/>
      <diagonal/>
    </border>
    <border>
      <left style="thin">
        <color theme="4" tint="-0.249977111117893"/>
      </left>
      <right/>
      <top style="thin">
        <color theme="4" tint="-0.249977111117893"/>
      </top>
      <bottom style="medium">
        <color theme="4"/>
      </bottom>
      <diagonal/>
    </border>
    <border>
      <left/>
      <right style="thin">
        <color theme="4" tint="-0.249977111117893"/>
      </right>
      <top style="thin">
        <color theme="4" tint="-0.249977111117893"/>
      </top>
      <bottom style="medium">
        <color theme="4"/>
      </bottom>
      <diagonal/>
    </border>
    <border>
      <left style="thin">
        <color theme="4" tint="-0.249977111117893"/>
      </left>
      <right/>
      <top/>
      <bottom style="medium">
        <color theme="4"/>
      </bottom>
      <diagonal/>
    </border>
    <border>
      <left style="thin">
        <color theme="2" tint="0.39994506668294322"/>
      </left>
      <right style="thin">
        <color theme="2" tint="0.39994506668294322"/>
      </right>
      <top style="thin">
        <color theme="2" tint="0.39994506668294322"/>
      </top>
      <bottom style="thin">
        <color theme="2" tint="0.39994506668294322"/>
      </bottom>
      <diagonal/>
    </border>
    <border>
      <left style="thin">
        <color theme="2" tint="-0.249977111117893"/>
      </left>
      <right style="thin">
        <color theme="2" tint="0.39994506668294322"/>
      </right>
      <top style="thin">
        <color theme="2" tint="-0.249977111117893"/>
      </top>
      <bottom style="thin">
        <color theme="2" tint="0.39994506668294322"/>
      </bottom>
      <diagonal/>
    </border>
    <border>
      <left style="thin">
        <color theme="2" tint="0.39994506668294322"/>
      </left>
      <right style="thin">
        <color theme="2" tint="0.39994506668294322"/>
      </right>
      <top style="thin">
        <color theme="2" tint="-0.249977111117893"/>
      </top>
      <bottom style="thin">
        <color theme="2" tint="0.39994506668294322"/>
      </bottom>
      <diagonal/>
    </border>
    <border>
      <left style="thin">
        <color theme="2" tint="-0.249977111117893"/>
      </left>
      <right style="thin">
        <color theme="2" tint="0.39994506668294322"/>
      </right>
      <top style="thin">
        <color theme="2" tint="0.39994506668294322"/>
      </top>
      <bottom style="thin">
        <color theme="2" tint="0.39994506668294322"/>
      </bottom>
      <diagonal/>
    </border>
    <border>
      <left style="thin">
        <color theme="2" tint="0.39994506668294322"/>
      </left>
      <right style="thin">
        <color theme="2" tint="-0.249977111117893"/>
      </right>
      <top style="thin">
        <color theme="2" tint="0.39994506668294322"/>
      </top>
      <bottom style="thin">
        <color theme="2" tint="0.39994506668294322"/>
      </bottom>
      <diagonal/>
    </border>
    <border>
      <left style="thin">
        <color theme="2" tint="-0.249977111117893"/>
      </left>
      <right style="thin">
        <color theme="2" tint="0.39994506668294322"/>
      </right>
      <top style="thin">
        <color theme="2" tint="0.39994506668294322"/>
      </top>
      <bottom style="thin">
        <color theme="2" tint="-0.249977111117893"/>
      </bottom>
      <diagonal/>
    </border>
    <border>
      <left style="thin">
        <color theme="2" tint="0.39994506668294322"/>
      </left>
      <right style="thin">
        <color theme="2" tint="0.39994506668294322"/>
      </right>
      <top style="thin">
        <color theme="2" tint="0.39994506668294322"/>
      </top>
      <bottom style="thin">
        <color theme="2" tint="-0.249977111117893"/>
      </bottom>
      <diagonal/>
    </border>
    <border>
      <left style="thin">
        <color theme="2" tint="0.39994506668294322"/>
      </left>
      <right style="thin">
        <color theme="2" tint="-0.249977111117893"/>
      </right>
      <top style="thin">
        <color theme="2" tint="0.39994506668294322"/>
      </top>
      <bottom style="thin">
        <color theme="2" tint="-0.249977111117893"/>
      </bottom>
      <diagonal/>
    </border>
    <border>
      <left style="thin">
        <color theme="2" tint="0.39994506668294322"/>
      </left>
      <right/>
      <top style="thin">
        <color theme="2" tint="-0.249977111117893"/>
      </top>
      <bottom style="thin">
        <color theme="2" tint="0.39994506668294322"/>
      </bottom>
      <diagonal/>
    </border>
    <border>
      <left/>
      <right/>
      <top style="thin">
        <color theme="2" tint="-0.249977111117893"/>
      </top>
      <bottom style="thin">
        <color theme="2" tint="0.39994506668294322"/>
      </bottom>
      <diagonal/>
    </border>
    <border>
      <left/>
      <right style="thin">
        <color theme="2" tint="-0.249977111117893"/>
      </right>
      <top style="thin">
        <color theme="2" tint="-0.249977111117893"/>
      </top>
      <bottom style="thin">
        <color theme="2" tint="0.39994506668294322"/>
      </bottom>
      <diagonal/>
    </border>
    <border>
      <left style="thin">
        <color theme="2" tint="0.39997558519241921"/>
      </left>
      <right/>
      <top style="thin">
        <color theme="2" tint="-0.249977111117893"/>
      </top>
      <bottom style="thin">
        <color theme="2" tint="0.39994506668294322"/>
      </bottom>
      <diagonal/>
    </border>
    <border>
      <left style="thin">
        <color theme="2" tint="-0.249977111117893"/>
      </left>
      <right style="thin">
        <color theme="2" tint="-0.249977111117893"/>
      </right>
      <top style="thin">
        <color theme="2" tint="-0.249977111117893"/>
      </top>
      <bottom style="thin">
        <color theme="2" tint="0.39997558519241921"/>
      </bottom>
      <diagonal/>
    </border>
    <border>
      <left style="thin">
        <color theme="2" tint="-0.249977111117893"/>
      </left>
      <right style="thin">
        <color theme="2" tint="-0.249977111117893"/>
      </right>
      <top style="thin">
        <color theme="2" tint="0.39997558519241921"/>
      </top>
      <bottom style="thin">
        <color theme="2" tint="-0.249977111117893"/>
      </bottom>
      <diagonal/>
    </border>
    <border>
      <left style="medium">
        <color theme="3" tint="0.39997558519241921"/>
      </left>
      <right/>
      <top style="thin">
        <color theme="3" tint="0.39997558519241921"/>
      </top>
      <bottom/>
      <diagonal/>
    </border>
    <border>
      <left style="medium">
        <color theme="3" tint="0.39997558519241921"/>
      </left>
      <right/>
      <top/>
      <bottom/>
      <diagonal/>
    </border>
    <border>
      <left style="medium">
        <color theme="3" tint="0.39997558519241921"/>
      </left>
      <right/>
      <top/>
      <bottom style="thin">
        <color theme="3" tint="0.39997558519241921"/>
      </bottom>
      <diagonal/>
    </border>
    <border>
      <left/>
      <right style="medium">
        <color theme="6" tint="-0.24994659260841701"/>
      </right>
      <top/>
      <bottom/>
      <diagonal/>
    </border>
    <border>
      <left style="medium">
        <color theme="6" tint="-0.24994659260841701"/>
      </left>
      <right/>
      <top style="medium">
        <color theme="6" tint="-0.249977111117893"/>
      </top>
      <bottom/>
      <diagonal/>
    </border>
    <border>
      <left style="medium">
        <color theme="6" tint="-0.24994659260841701"/>
      </left>
      <right/>
      <top/>
      <bottom/>
      <diagonal/>
    </border>
    <border>
      <left style="medium">
        <color theme="6" tint="-0.24994659260841701"/>
      </left>
      <right/>
      <top/>
      <bottom style="medium">
        <color theme="6" tint="-0.249977111117893"/>
      </bottom>
      <diagonal/>
    </border>
    <border>
      <left/>
      <right style="thin">
        <color theme="2" tint="0.39997558519241921"/>
      </right>
      <top/>
      <bottom style="medium">
        <color theme="6" tint="-0.249977111117893"/>
      </bottom>
      <diagonal/>
    </border>
  </borders>
  <cellStyleXfs count="5">
    <xf numFmtId="0" fontId="0" fillId="0" borderId="0"/>
    <xf numFmtId="9" fontId="13" fillId="0" borderId="0" applyFont="0" applyFill="0" applyBorder="0" applyAlignment="0" applyProtection="0"/>
    <xf numFmtId="0" fontId="63" fillId="0" borderId="0" applyNumberFormat="0" applyFill="0" applyBorder="0" applyAlignment="0" applyProtection="0"/>
    <xf numFmtId="0" fontId="13" fillId="3" borderId="249" applyNumberFormat="0" applyFont="0" applyFill="0" applyBorder="0" applyProtection="0">
      <alignment horizontal="left" vertical="center" indent="1"/>
    </xf>
    <xf numFmtId="0" fontId="13" fillId="9" borderId="247" applyNumberFormat="0" applyFont="0" applyFill="0" applyBorder="0" applyProtection="0">
      <alignment horizontal="right" vertical="center" indent="1"/>
    </xf>
  </cellStyleXfs>
  <cellXfs count="2043">
    <xf numFmtId="0" fontId="0" fillId="0" borderId="0" xfId="0"/>
    <xf numFmtId="0" fontId="0" fillId="0" borderId="0" xfId="0" applyAlignment="1">
      <alignment horizontal="center" vertical="center"/>
    </xf>
    <xf numFmtId="0" fontId="0" fillId="0" borderId="0" xfId="0" applyAlignment="1">
      <alignment vertical="center"/>
    </xf>
    <xf numFmtId="0" fontId="0" fillId="3" borderId="0" xfId="0" applyFill="1" applyAlignment="1">
      <alignment vertical="center"/>
    </xf>
    <xf numFmtId="0" fontId="0" fillId="5" borderId="0" xfId="0" applyFill="1" applyAlignment="1">
      <alignment vertical="center"/>
    </xf>
    <xf numFmtId="0" fontId="0" fillId="3" borderId="0" xfId="0" applyFill="1"/>
    <xf numFmtId="0" fontId="0" fillId="8" borderId="0" xfId="0" applyFill="1" applyAlignment="1">
      <alignment vertical="center"/>
    </xf>
    <xf numFmtId="0" fontId="3" fillId="5" borderId="0" xfId="0" applyFont="1" applyFill="1" applyAlignment="1">
      <alignment horizontal="left" vertical="center" indent="1"/>
    </xf>
    <xf numFmtId="0" fontId="0" fillId="5" borderId="0" xfId="0" applyFill="1" applyAlignment="1">
      <alignment horizontal="center" vertical="center"/>
    </xf>
    <xf numFmtId="0" fontId="0" fillId="8" borderId="0" xfId="0" applyFill="1" applyAlignment="1">
      <alignment horizontal="center" vertical="center"/>
    </xf>
    <xf numFmtId="0" fontId="3" fillId="5" borderId="0" xfId="0" applyFont="1" applyFill="1" applyAlignment="1">
      <alignment horizontal="center" vertical="center"/>
    </xf>
    <xf numFmtId="0" fontId="0" fillId="9" borderId="0" xfId="0" applyFill="1" applyAlignment="1">
      <alignment vertical="center"/>
    </xf>
    <xf numFmtId="0" fontId="12" fillId="0" borderId="0" xfId="0" applyFont="1" applyAlignment="1">
      <alignment vertical="center"/>
    </xf>
    <xf numFmtId="0" fontId="12" fillId="8" borderId="0" xfId="0" applyFont="1" applyFill="1" applyAlignment="1">
      <alignment horizontal="center" vertical="center"/>
    </xf>
    <xf numFmtId="0" fontId="9" fillId="5" borderId="0" xfId="0" applyFont="1" applyFill="1" applyAlignment="1">
      <alignment vertical="center"/>
    </xf>
    <xf numFmtId="0" fontId="0" fillId="0" borderId="0" xfId="0" quotePrefix="1" applyAlignment="1">
      <alignment vertical="center"/>
    </xf>
    <xf numFmtId="0" fontId="15" fillId="3" borderId="36" xfId="0" applyFont="1" applyFill="1" applyBorder="1" applyAlignment="1">
      <alignment vertical="center"/>
    </xf>
    <xf numFmtId="0" fontId="15" fillId="3" borderId="27" xfId="0" applyFont="1" applyFill="1" applyBorder="1" applyAlignment="1">
      <alignment vertical="center"/>
    </xf>
    <xf numFmtId="0" fontId="25" fillId="3" borderId="28" xfId="0" applyFont="1" applyFill="1" applyBorder="1" applyAlignment="1">
      <alignment horizontal="center" vertical="center" wrapText="1"/>
    </xf>
    <xf numFmtId="0" fontId="25" fillId="3" borderId="29" xfId="0" applyFont="1" applyFill="1" applyBorder="1" applyAlignment="1">
      <alignment horizontal="center" vertical="center" wrapText="1"/>
    </xf>
    <xf numFmtId="0" fontId="25" fillId="3" borderId="37" xfId="0" applyFont="1" applyFill="1" applyBorder="1" applyAlignment="1">
      <alignment horizontal="center" vertical="center" wrapText="1"/>
    </xf>
    <xf numFmtId="0" fontId="25" fillId="3" borderId="44" xfId="0" applyFont="1" applyFill="1" applyBorder="1" applyAlignment="1">
      <alignment horizontal="center" vertical="center" wrapText="1"/>
    </xf>
    <xf numFmtId="0" fontId="12" fillId="3" borderId="38" xfId="0" applyFont="1" applyFill="1" applyBorder="1" applyAlignment="1">
      <alignment vertical="center"/>
    </xf>
    <xf numFmtId="0" fontId="21" fillId="3" borderId="0" xfId="0" applyFont="1" applyFill="1" applyAlignment="1">
      <alignment vertical="center"/>
    </xf>
    <xf numFmtId="0" fontId="12" fillId="3" borderId="36" xfId="0" applyFont="1" applyFill="1" applyBorder="1" applyAlignment="1">
      <alignment vertical="center"/>
    </xf>
    <xf numFmtId="0" fontId="21" fillId="3" borderId="27" xfId="0" applyFont="1" applyFill="1" applyBorder="1" applyAlignment="1">
      <alignment vertical="center"/>
    </xf>
    <xf numFmtId="0" fontId="12" fillId="3" borderId="40" xfId="0" applyFont="1" applyFill="1" applyBorder="1" applyAlignment="1">
      <alignment vertical="center"/>
    </xf>
    <xf numFmtId="0" fontId="21" fillId="3" borderId="41" xfId="0" applyFont="1" applyFill="1" applyBorder="1" applyAlignment="1">
      <alignment vertical="center"/>
    </xf>
    <xf numFmtId="0" fontId="12" fillId="8" borderId="30" xfId="0" applyFont="1" applyFill="1" applyBorder="1" applyAlignment="1">
      <alignment vertical="center"/>
    </xf>
    <xf numFmtId="0" fontId="21" fillId="8" borderId="31" xfId="0" applyFont="1" applyFill="1" applyBorder="1" applyAlignment="1">
      <alignment vertical="center"/>
    </xf>
    <xf numFmtId="0" fontId="15" fillId="3" borderId="0" xfId="0" applyFont="1" applyFill="1" applyAlignment="1">
      <alignment vertical="center"/>
    </xf>
    <xf numFmtId="0" fontId="15" fillId="3" borderId="39" xfId="0" applyFont="1" applyFill="1" applyBorder="1" applyAlignment="1">
      <alignment vertical="center"/>
    </xf>
    <xf numFmtId="0" fontId="15" fillId="3" borderId="41" xfId="0" quotePrefix="1" applyFont="1" applyFill="1" applyBorder="1" applyAlignment="1">
      <alignment vertical="center"/>
    </xf>
    <xf numFmtId="0" fontId="15" fillId="3" borderId="41" xfId="0" applyFont="1" applyFill="1" applyBorder="1" applyAlignment="1">
      <alignment vertical="center"/>
    </xf>
    <xf numFmtId="0" fontId="15" fillId="3" borderId="43" xfId="0" applyFont="1" applyFill="1" applyBorder="1" applyAlignment="1">
      <alignment vertical="center"/>
    </xf>
    <xf numFmtId="0" fontId="15" fillId="2" borderId="28" xfId="0" applyFont="1" applyFill="1" applyBorder="1" applyAlignment="1">
      <alignment horizontal="center" vertical="center"/>
    </xf>
    <xf numFmtId="0" fontId="15" fillId="2" borderId="29" xfId="0" applyFont="1" applyFill="1" applyBorder="1" applyAlignment="1">
      <alignment horizontal="center" vertical="center"/>
    </xf>
    <xf numFmtId="0" fontId="15" fillId="2" borderId="37" xfId="0" applyFont="1" applyFill="1" applyBorder="1" applyAlignment="1">
      <alignment horizontal="center" vertical="center"/>
    </xf>
    <xf numFmtId="0" fontId="15" fillId="2" borderId="44" xfId="0" applyFont="1" applyFill="1" applyBorder="1" applyAlignment="1">
      <alignment horizontal="center" vertical="center"/>
    </xf>
    <xf numFmtId="0" fontId="15" fillId="2" borderId="45" xfId="0" applyFont="1" applyFill="1" applyBorder="1" applyAlignment="1">
      <alignment horizontal="center" vertical="center"/>
    </xf>
    <xf numFmtId="0" fontId="15" fillId="7" borderId="28" xfId="0" applyFont="1" applyFill="1" applyBorder="1" applyAlignment="1">
      <alignment horizontal="center" vertical="center"/>
    </xf>
    <xf numFmtId="0" fontId="15" fillId="7" borderId="37" xfId="0" applyFont="1" applyFill="1" applyBorder="1" applyAlignment="1">
      <alignment horizontal="center" vertical="center"/>
    </xf>
    <xf numFmtId="0" fontId="15" fillId="6" borderId="28" xfId="0" applyFont="1" applyFill="1" applyBorder="1" applyAlignment="1">
      <alignment horizontal="center" vertical="center"/>
    </xf>
    <xf numFmtId="0" fontId="15" fillId="6" borderId="29" xfId="0" applyFont="1" applyFill="1" applyBorder="1" applyAlignment="1">
      <alignment horizontal="center" vertical="center"/>
    </xf>
    <xf numFmtId="0" fontId="12" fillId="3" borderId="49" xfId="0" applyFont="1" applyFill="1" applyBorder="1" applyAlignment="1">
      <alignment vertical="center"/>
    </xf>
    <xf numFmtId="0" fontId="25" fillId="3" borderId="51" xfId="0" applyFont="1" applyFill="1" applyBorder="1" applyAlignment="1">
      <alignment horizontal="center" vertical="center" wrapText="1"/>
    </xf>
    <xf numFmtId="0" fontId="25" fillId="3" borderId="52" xfId="0" applyFont="1" applyFill="1" applyBorder="1" applyAlignment="1">
      <alignment horizontal="center" vertical="center" wrapText="1"/>
    </xf>
    <xf numFmtId="0" fontId="25" fillId="3" borderId="53" xfId="0" applyFont="1" applyFill="1" applyBorder="1" applyAlignment="1">
      <alignment horizontal="center" vertical="center" wrapText="1"/>
    </xf>
    <xf numFmtId="0" fontId="0" fillId="3" borderId="54" xfId="0" applyFill="1" applyBorder="1" applyAlignment="1">
      <alignment vertical="center"/>
    </xf>
    <xf numFmtId="0" fontId="25" fillId="3" borderId="55" xfId="0" applyFont="1" applyFill="1" applyBorder="1" applyAlignment="1">
      <alignment horizontal="center" vertical="center" wrapText="1"/>
    </xf>
    <xf numFmtId="0" fontId="8" fillId="11" borderId="61" xfId="0" applyFont="1" applyFill="1" applyBorder="1" applyAlignment="1">
      <alignment horizontal="center" vertical="center"/>
    </xf>
    <xf numFmtId="0" fontId="12" fillId="8" borderId="50" xfId="0" applyFont="1" applyFill="1" applyBorder="1" applyAlignment="1">
      <alignment vertical="center"/>
    </xf>
    <xf numFmtId="0" fontId="0" fillId="8" borderId="56" xfId="0" applyFill="1" applyBorder="1" applyAlignment="1">
      <alignment vertical="center"/>
    </xf>
    <xf numFmtId="0" fontId="0" fillId="3" borderId="51" xfId="0" applyFill="1" applyBorder="1" applyAlignment="1">
      <alignment horizontal="center" vertical="center"/>
    </xf>
    <xf numFmtId="0" fontId="0" fillId="3" borderId="53" xfId="0" applyFill="1" applyBorder="1" applyAlignment="1">
      <alignment horizontal="center" vertical="center"/>
    </xf>
    <xf numFmtId="0" fontId="0" fillId="3" borderId="55" xfId="0" applyFill="1" applyBorder="1" applyAlignment="1">
      <alignment horizontal="center" vertical="center"/>
    </xf>
    <xf numFmtId="0" fontId="0" fillId="8" borderId="57" xfId="0" applyFill="1" applyBorder="1" applyAlignment="1">
      <alignment horizontal="center" vertical="center"/>
    </xf>
    <xf numFmtId="0" fontId="0" fillId="8" borderId="58" xfId="0" applyFill="1" applyBorder="1" applyAlignment="1">
      <alignment horizontal="center" vertical="center"/>
    </xf>
    <xf numFmtId="0" fontId="0" fillId="8" borderId="60" xfId="0" applyFill="1" applyBorder="1" applyAlignment="1">
      <alignment horizontal="center" vertical="center"/>
    </xf>
    <xf numFmtId="0" fontId="0" fillId="9" borderId="51" xfId="0" applyFill="1" applyBorder="1" applyAlignment="1">
      <alignment horizontal="center" vertical="center"/>
    </xf>
    <xf numFmtId="0" fontId="0" fillId="9" borderId="53" xfId="0" applyFill="1" applyBorder="1" applyAlignment="1">
      <alignment horizontal="center" vertical="center"/>
    </xf>
    <xf numFmtId="0" fontId="0" fillId="9" borderId="52" xfId="0" applyFill="1" applyBorder="1" applyAlignment="1">
      <alignment horizontal="center" vertical="center"/>
    </xf>
    <xf numFmtId="0" fontId="15" fillId="11" borderId="42" xfId="0" applyFont="1" applyFill="1" applyBorder="1" applyAlignment="1">
      <alignment horizontal="center" vertical="center"/>
    </xf>
    <xf numFmtId="0" fontId="15" fillId="2" borderId="67" xfId="0" applyFont="1" applyFill="1" applyBorder="1" applyAlignment="1">
      <alignment horizontal="center" vertical="center"/>
    </xf>
    <xf numFmtId="9" fontId="0" fillId="8" borderId="59" xfId="1" applyFont="1" applyFill="1" applyBorder="1" applyAlignment="1">
      <alignment horizontal="center" vertical="center"/>
    </xf>
    <xf numFmtId="9" fontId="0" fillId="3" borderId="52" xfId="1" applyFont="1" applyFill="1" applyBorder="1" applyAlignment="1">
      <alignment horizontal="center" vertical="center"/>
    </xf>
    <xf numFmtId="0" fontId="29" fillId="5" borderId="0" xfId="0" applyFont="1" applyFill="1" applyAlignment="1">
      <alignment vertical="center"/>
    </xf>
    <xf numFmtId="0" fontId="0" fillId="3" borderId="38" xfId="0" applyFill="1" applyBorder="1" applyAlignment="1">
      <alignment vertical="center"/>
    </xf>
    <xf numFmtId="0" fontId="0" fillId="3" borderId="39" xfId="0" applyFill="1" applyBorder="1" applyAlignment="1">
      <alignment vertical="center"/>
    </xf>
    <xf numFmtId="0" fontId="0" fillId="3" borderId="40" xfId="0" applyFill="1" applyBorder="1" applyAlignment="1">
      <alignment vertical="center"/>
    </xf>
    <xf numFmtId="0" fontId="0" fillId="3" borderId="41" xfId="0" applyFill="1" applyBorder="1" applyAlignment="1">
      <alignment vertical="center"/>
    </xf>
    <xf numFmtId="0" fontId="0" fillId="3" borderId="43" xfId="0" applyFill="1" applyBorder="1" applyAlignment="1">
      <alignment vertical="center"/>
    </xf>
    <xf numFmtId="0" fontId="0" fillId="3" borderId="45" xfId="0" applyFill="1" applyBorder="1" applyAlignment="1">
      <alignment vertical="center"/>
    </xf>
    <xf numFmtId="0" fontId="0" fillId="3" borderId="68" xfId="0" applyFill="1" applyBorder="1" applyAlignment="1">
      <alignment vertical="center"/>
    </xf>
    <xf numFmtId="0" fontId="12" fillId="8" borderId="71" xfId="0" applyFont="1" applyFill="1" applyBorder="1" applyAlignment="1">
      <alignment vertical="center"/>
    </xf>
    <xf numFmtId="0" fontId="12" fillId="8" borderId="33" xfId="0" applyFont="1" applyFill="1" applyBorder="1" applyAlignment="1">
      <alignment vertical="center"/>
    </xf>
    <xf numFmtId="0" fontId="12" fillId="8" borderId="46" xfId="0" applyFont="1" applyFill="1" applyBorder="1" applyAlignment="1">
      <alignment vertical="center"/>
    </xf>
    <xf numFmtId="0" fontId="20" fillId="0" borderId="0" xfId="0" applyFont="1" applyAlignment="1">
      <alignment vertical="top"/>
    </xf>
    <xf numFmtId="0" fontId="0" fillId="0" borderId="83" xfId="0" applyBorder="1" applyAlignment="1">
      <alignment horizontal="center" vertical="center"/>
    </xf>
    <xf numFmtId="0" fontId="12" fillId="0" borderId="83" xfId="0" applyFont="1" applyBorder="1" applyAlignment="1">
      <alignment horizontal="center" vertical="center"/>
    </xf>
    <xf numFmtId="0" fontId="12" fillId="8" borderId="83" xfId="0" applyFont="1" applyFill="1" applyBorder="1" applyAlignment="1">
      <alignment horizontal="center" vertical="center"/>
    </xf>
    <xf numFmtId="0" fontId="0" fillId="8" borderId="83" xfId="0" applyFill="1" applyBorder="1" applyAlignment="1">
      <alignment horizontal="center" vertical="center"/>
    </xf>
    <xf numFmtId="0" fontId="0" fillId="12" borderId="0" xfId="0" applyFill="1" applyAlignment="1">
      <alignment vertical="center"/>
    </xf>
    <xf numFmtId="0" fontId="12" fillId="12" borderId="0" xfId="0" applyFont="1" applyFill="1" applyAlignment="1">
      <alignment vertical="center"/>
    </xf>
    <xf numFmtId="0" fontId="0" fillId="3" borderId="85" xfId="0" applyFill="1" applyBorder="1" applyAlignment="1">
      <alignment vertical="center"/>
    </xf>
    <xf numFmtId="0" fontId="0" fillId="3" borderId="86" xfId="0" applyFill="1" applyBorder="1" applyAlignment="1">
      <alignment vertical="center"/>
    </xf>
    <xf numFmtId="0" fontId="0" fillId="3" borderId="87" xfId="0" applyFill="1" applyBorder="1" applyAlignment="1">
      <alignment vertical="center"/>
    </xf>
    <xf numFmtId="0" fontId="0" fillId="3" borderId="49" xfId="0" applyFill="1" applyBorder="1" applyAlignment="1">
      <alignment vertical="center"/>
    </xf>
    <xf numFmtId="0" fontId="0" fillId="3" borderId="49" xfId="0" quotePrefix="1" applyFill="1" applyBorder="1" applyAlignment="1">
      <alignment vertical="center"/>
    </xf>
    <xf numFmtId="0" fontId="0" fillId="3" borderId="50" xfId="0" applyFill="1" applyBorder="1" applyAlignment="1">
      <alignment vertical="center"/>
    </xf>
    <xf numFmtId="0" fontId="0" fillId="3" borderId="88" xfId="0" applyFill="1" applyBorder="1" applyAlignment="1">
      <alignment vertical="center"/>
    </xf>
    <xf numFmtId="0" fontId="0" fillId="3" borderId="56" xfId="0" applyFill="1" applyBorder="1" applyAlignment="1">
      <alignment vertical="center"/>
    </xf>
    <xf numFmtId="0" fontId="0" fillId="3" borderId="90" xfId="0" applyFill="1" applyBorder="1" applyAlignment="1">
      <alignment vertical="center"/>
    </xf>
    <xf numFmtId="0" fontId="0" fillId="8" borderId="138" xfId="0" applyFill="1" applyBorder="1" applyAlignment="1">
      <alignment horizontal="center" vertical="center"/>
    </xf>
    <xf numFmtId="0" fontId="0" fillId="14" borderId="0" xfId="0" applyFill="1" applyAlignment="1">
      <alignment vertical="center"/>
    </xf>
    <xf numFmtId="0" fontId="15" fillId="14" borderId="0" xfId="0" applyFont="1" applyFill="1" applyAlignment="1">
      <alignment horizontal="left" vertical="center" indent="1"/>
    </xf>
    <xf numFmtId="0" fontId="0" fillId="0" borderId="139" xfId="0" applyBorder="1" applyAlignment="1">
      <alignment horizontal="center" vertical="center"/>
    </xf>
    <xf numFmtId="0" fontId="0" fillId="0" borderId="144" xfId="0" applyBorder="1" applyAlignment="1">
      <alignment horizontal="center" vertical="center"/>
    </xf>
    <xf numFmtId="0" fontId="40" fillId="0" borderId="143" xfId="0" applyFont="1" applyBorder="1" applyAlignment="1">
      <alignment vertical="center"/>
    </xf>
    <xf numFmtId="0" fontId="0" fillId="0" borderId="143" xfId="0" applyBorder="1" applyAlignment="1">
      <alignment vertical="center"/>
    </xf>
    <xf numFmtId="0" fontId="0" fillId="0" borderId="145" xfId="0" applyBorder="1" applyAlignment="1">
      <alignment horizontal="center" vertical="center"/>
    </xf>
    <xf numFmtId="0" fontId="0" fillId="0" borderId="146" xfId="0" applyBorder="1" applyAlignment="1">
      <alignment horizontal="center" vertical="center"/>
    </xf>
    <xf numFmtId="0" fontId="0" fillId="0" borderId="148" xfId="0" applyBorder="1" applyAlignment="1">
      <alignment horizontal="center" vertical="center"/>
    </xf>
    <xf numFmtId="0" fontId="0" fillId="0" borderId="147" xfId="0" applyBorder="1" applyAlignment="1">
      <alignment horizontal="center" vertical="center"/>
    </xf>
    <xf numFmtId="0" fontId="0" fillId="0" borderId="150" xfId="0" applyBorder="1" applyAlignment="1">
      <alignment horizontal="center" vertical="center"/>
    </xf>
    <xf numFmtId="0" fontId="0" fillId="0" borderId="142" xfId="0" applyBorder="1" applyAlignment="1">
      <alignment horizontal="center" vertical="center"/>
    </xf>
    <xf numFmtId="0" fontId="0" fillId="0" borderId="152" xfId="0" applyBorder="1" applyAlignment="1">
      <alignment vertical="center"/>
    </xf>
    <xf numFmtId="0" fontId="0" fillId="0" borderId="152" xfId="0" quotePrefix="1" applyBorder="1" applyAlignment="1">
      <alignment vertical="center"/>
    </xf>
    <xf numFmtId="0" fontId="0" fillId="0" borderId="153" xfId="0" applyBorder="1" applyAlignment="1">
      <alignment horizontal="center" vertical="center"/>
    </xf>
    <xf numFmtId="0" fontId="0" fillId="0" borderId="154" xfId="0" applyBorder="1" applyAlignment="1">
      <alignment vertical="center"/>
    </xf>
    <xf numFmtId="0" fontId="0" fillId="0" borderId="155" xfId="0" applyBorder="1" applyAlignment="1">
      <alignment horizontal="center" vertical="center"/>
    </xf>
    <xf numFmtId="0" fontId="0" fillId="0" borderId="156" xfId="0" applyBorder="1" applyAlignment="1">
      <alignment horizontal="center" vertical="center"/>
    </xf>
    <xf numFmtId="0" fontId="0" fillId="0" borderId="149" xfId="0" applyBorder="1" applyAlignment="1">
      <alignment vertical="center"/>
    </xf>
    <xf numFmtId="0" fontId="0" fillId="0" borderId="157" xfId="0" applyBorder="1" applyAlignment="1">
      <alignment vertical="center"/>
    </xf>
    <xf numFmtId="0" fontId="0" fillId="0" borderId="158" xfId="0" applyBorder="1" applyAlignment="1">
      <alignment horizontal="center" vertical="center"/>
    </xf>
    <xf numFmtId="0" fontId="0" fillId="0" borderId="160" xfId="0" applyBorder="1" applyAlignment="1">
      <alignment horizontal="center" vertical="center"/>
    </xf>
    <xf numFmtId="0" fontId="0" fillId="0" borderId="161" xfId="0" applyBorder="1" applyAlignment="1">
      <alignment vertical="center"/>
    </xf>
    <xf numFmtId="0" fontId="0" fillId="0" borderId="141" xfId="0" applyBorder="1" applyAlignment="1">
      <alignment horizontal="center" vertical="center"/>
    </xf>
    <xf numFmtId="0" fontId="0" fillId="0" borderId="162" xfId="0" applyBorder="1" applyAlignment="1">
      <alignment vertical="center"/>
    </xf>
    <xf numFmtId="0" fontId="0" fillId="0" borderId="140" xfId="0" applyBorder="1" applyAlignment="1">
      <alignment horizontal="center" vertical="center"/>
    </xf>
    <xf numFmtId="0" fontId="0" fillId="0" borderId="151" xfId="0" applyBorder="1" applyAlignment="1">
      <alignment horizontal="center" vertical="center"/>
    </xf>
    <xf numFmtId="0" fontId="0" fillId="0" borderId="38" xfId="0" applyBorder="1" applyAlignment="1">
      <alignment vertical="center"/>
    </xf>
    <xf numFmtId="0" fontId="0" fillId="0" borderId="159" xfId="0" applyBorder="1" applyAlignment="1">
      <alignment horizontal="center" vertical="center"/>
    </xf>
    <xf numFmtId="0" fontId="0" fillId="3" borderId="159" xfId="0" applyFill="1" applyBorder="1" applyAlignment="1">
      <alignment horizontal="center" vertical="center"/>
    </xf>
    <xf numFmtId="0" fontId="0" fillId="15" borderId="83" xfId="0" applyFill="1" applyBorder="1" applyAlignment="1">
      <alignment horizontal="center" vertical="center"/>
    </xf>
    <xf numFmtId="0" fontId="0" fillId="15" borderId="69" xfId="0" applyFill="1" applyBorder="1" applyAlignment="1">
      <alignment horizontal="center" vertical="center"/>
    </xf>
    <xf numFmtId="0" fontId="0" fillId="15" borderId="68" xfId="0" applyFill="1" applyBorder="1" applyAlignment="1">
      <alignment horizontal="center" vertical="center"/>
    </xf>
    <xf numFmtId="0" fontId="0" fillId="15" borderId="51" xfId="0" applyFill="1" applyBorder="1" applyAlignment="1">
      <alignment horizontal="center" vertical="center"/>
    </xf>
    <xf numFmtId="0" fontId="0" fillId="15" borderId="52" xfId="0" applyFill="1" applyBorder="1" applyAlignment="1">
      <alignment horizontal="center" vertical="center"/>
    </xf>
    <xf numFmtId="0" fontId="0" fillId="15" borderId="59" xfId="0" applyFill="1" applyBorder="1" applyAlignment="1">
      <alignment horizontal="center" vertical="center"/>
    </xf>
    <xf numFmtId="0" fontId="0" fillId="15" borderId="53" xfId="0" applyFill="1" applyBorder="1" applyAlignment="1">
      <alignment horizontal="center" vertical="center"/>
    </xf>
    <xf numFmtId="0" fontId="0" fillId="15" borderId="89" xfId="0" applyFill="1" applyBorder="1" applyAlignment="1">
      <alignment horizontal="center" vertical="center"/>
    </xf>
    <xf numFmtId="0" fontId="0" fillId="8" borderId="26" xfId="0" applyFill="1" applyBorder="1" applyAlignment="1">
      <alignment horizontal="center" vertical="center"/>
    </xf>
    <xf numFmtId="0" fontId="0" fillId="8" borderId="70" xfId="0" applyFill="1" applyBorder="1" applyAlignment="1">
      <alignment horizontal="center" vertical="center"/>
    </xf>
    <xf numFmtId="0" fontId="0" fillId="3" borderId="0" xfId="0" applyFill="1" applyAlignment="1">
      <alignment horizontal="center" vertical="center"/>
    </xf>
    <xf numFmtId="0" fontId="0" fillId="3" borderId="87" xfId="0" applyFill="1" applyBorder="1" applyAlignment="1">
      <alignment horizontal="center" vertical="center"/>
    </xf>
    <xf numFmtId="0" fontId="40" fillId="0" borderId="163" xfId="0" applyFont="1" applyBorder="1" applyAlignment="1">
      <alignment horizontal="center" vertical="center"/>
    </xf>
    <xf numFmtId="0" fontId="40" fillId="3" borderId="139" xfId="0" applyFont="1" applyFill="1" applyBorder="1" applyAlignment="1">
      <alignment horizontal="center" vertical="center"/>
    </xf>
    <xf numFmtId="0" fontId="40" fillId="3" borderId="165" xfId="0" applyFont="1" applyFill="1" applyBorder="1" applyAlignment="1">
      <alignment horizontal="center" vertical="center"/>
    </xf>
    <xf numFmtId="0" fontId="40" fillId="3" borderId="144" xfId="0" applyFont="1" applyFill="1" applyBorder="1" applyAlignment="1">
      <alignment horizontal="center" vertical="center"/>
    </xf>
    <xf numFmtId="0" fontId="0" fillId="3" borderId="139" xfId="0" applyFill="1" applyBorder="1" applyAlignment="1">
      <alignment horizontal="center" vertical="center"/>
    </xf>
    <xf numFmtId="0" fontId="0" fillId="3" borderId="157" xfId="0" applyFill="1" applyBorder="1" applyAlignment="1">
      <alignment vertical="center"/>
    </xf>
    <xf numFmtId="0" fontId="0" fillId="3" borderId="167" xfId="0" applyFill="1" applyBorder="1" applyAlignment="1">
      <alignment horizontal="center" vertical="center"/>
    </xf>
    <xf numFmtId="0" fontId="0" fillId="3" borderId="168" xfId="0" applyFill="1" applyBorder="1" applyAlignment="1">
      <alignment horizontal="center" vertical="center"/>
    </xf>
    <xf numFmtId="0" fontId="0" fillId="3" borderId="161" xfId="0" applyFill="1" applyBorder="1" applyAlignment="1">
      <alignment vertical="center"/>
    </xf>
    <xf numFmtId="0" fontId="0" fillId="3" borderId="0" xfId="0" applyFill="1" applyAlignment="1">
      <alignment horizontal="right" vertical="center" indent="1"/>
    </xf>
    <xf numFmtId="0" fontId="0" fillId="3" borderId="170" xfId="0" applyFill="1" applyBorder="1" applyAlignment="1">
      <alignment vertical="center"/>
    </xf>
    <xf numFmtId="0" fontId="39" fillId="0" borderId="0" xfId="0" applyFont="1" applyAlignment="1">
      <alignment horizontal="center" vertical="top"/>
    </xf>
    <xf numFmtId="0" fontId="40" fillId="0" borderId="0" xfId="0" applyFont="1" applyAlignment="1">
      <alignment vertical="center"/>
    </xf>
    <xf numFmtId="0" fontId="43" fillId="0" borderId="0" xfId="0" applyFont="1" applyAlignment="1">
      <alignment horizontal="center" vertical="center"/>
    </xf>
    <xf numFmtId="0" fontId="43" fillId="0" borderId="139" xfId="0" applyFont="1" applyBorder="1" applyAlignment="1">
      <alignment horizontal="center" vertical="center"/>
    </xf>
    <xf numFmtId="0" fontId="0" fillId="3" borderId="143" xfId="0" applyFill="1" applyBorder="1" applyAlignment="1">
      <alignment vertical="center"/>
    </xf>
    <xf numFmtId="0" fontId="40" fillId="3" borderId="162" xfId="0" applyFont="1" applyFill="1" applyBorder="1" applyAlignment="1">
      <alignment vertical="center"/>
    </xf>
    <xf numFmtId="0" fontId="43" fillId="9" borderId="0" xfId="0" applyFont="1" applyFill="1" applyAlignment="1">
      <alignment vertical="center"/>
    </xf>
    <xf numFmtId="0" fontId="43" fillId="3" borderId="0" xfId="0" applyFont="1" applyFill="1" applyAlignment="1">
      <alignment vertical="center"/>
    </xf>
    <xf numFmtId="0" fontId="0" fillId="8" borderId="171" xfId="0" applyFill="1" applyBorder="1" applyAlignment="1">
      <alignment horizontal="left" vertical="center"/>
    </xf>
    <xf numFmtId="0" fontId="0" fillId="3" borderId="155" xfId="0" applyFill="1" applyBorder="1" applyAlignment="1">
      <alignment vertical="center"/>
    </xf>
    <xf numFmtId="0" fontId="0" fillId="3" borderId="176" xfId="0" applyFill="1" applyBorder="1" applyAlignment="1">
      <alignment horizontal="center" vertical="center"/>
    </xf>
    <xf numFmtId="0" fontId="45" fillId="3" borderId="139" xfId="0" applyFont="1" applyFill="1" applyBorder="1" applyAlignment="1">
      <alignment horizontal="center" vertical="center"/>
    </xf>
    <xf numFmtId="0" fontId="0" fillId="11" borderId="0" xfId="0" applyFill="1" applyAlignment="1">
      <alignment horizontal="center" vertical="center"/>
    </xf>
    <xf numFmtId="0" fontId="12" fillId="0" borderId="139" xfId="0" applyFont="1" applyBorder="1" applyAlignment="1">
      <alignment vertical="center"/>
    </xf>
    <xf numFmtId="0" fontId="0" fillId="3" borderId="177" xfId="0" applyFill="1" applyBorder="1" applyAlignment="1">
      <alignment horizontal="right" vertical="center" indent="1"/>
    </xf>
    <xf numFmtId="0" fontId="0" fillId="16" borderId="0" xfId="0" applyFill="1" applyAlignment="1">
      <alignment vertical="center"/>
    </xf>
    <xf numFmtId="0" fontId="40" fillId="16" borderId="173" xfId="0" applyFont="1" applyFill="1" applyBorder="1" applyAlignment="1">
      <alignment horizontal="center" vertical="center"/>
    </xf>
    <xf numFmtId="0" fontId="40" fillId="16" borderId="174" xfId="0" applyFont="1" applyFill="1" applyBorder="1" applyAlignment="1">
      <alignment horizontal="center" vertical="center"/>
    </xf>
    <xf numFmtId="0" fontId="40" fillId="16" borderId="178" xfId="0" applyFont="1" applyFill="1" applyBorder="1" applyAlignment="1">
      <alignment horizontal="center" vertical="center"/>
    </xf>
    <xf numFmtId="0" fontId="40" fillId="16" borderId="141" xfId="0" applyFont="1" applyFill="1" applyBorder="1" applyAlignment="1">
      <alignment horizontal="center" vertical="center"/>
    </xf>
    <xf numFmtId="0" fontId="0" fillId="0" borderId="88" xfId="0" applyBorder="1" applyAlignment="1">
      <alignment vertical="center"/>
    </xf>
    <xf numFmtId="0" fontId="0" fillId="3" borderId="179" xfId="0" applyFill="1" applyBorder="1" applyAlignment="1">
      <alignment horizontal="right" vertical="center"/>
    </xf>
    <xf numFmtId="0" fontId="0" fillId="0" borderId="54" xfId="0" applyBorder="1" applyAlignment="1">
      <alignment vertical="center"/>
    </xf>
    <xf numFmtId="0" fontId="0" fillId="3" borderId="182" xfId="0" applyFill="1" applyBorder="1" applyAlignment="1">
      <alignment vertical="center"/>
    </xf>
    <xf numFmtId="0" fontId="0" fillId="3" borderId="181" xfId="0" applyFill="1" applyBorder="1" applyAlignment="1">
      <alignment vertical="center"/>
    </xf>
    <xf numFmtId="0" fontId="0" fillId="8" borderId="164" xfId="0" applyFill="1" applyBorder="1" applyAlignment="1">
      <alignment horizontal="center" vertical="center"/>
    </xf>
    <xf numFmtId="0" fontId="0" fillId="3" borderId="181" xfId="0" applyFill="1" applyBorder="1" applyAlignment="1">
      <alignment horizontal="center" vertical="center"/>
    </xf>
    <xf numFmtId="0" fontId="12" fillId="3" borderId="181" xfId="0" applyFont="1" applyFill="1" applyBorder="1" applyAlignment="1">
      <alignment horizontal="center" vertical="center"/>
    </xf>
    <xf numFmtId="0" fontId="0" fillId="8" borderId="88" xfId="0" applyFill="1" applyBorder="1" applyAlignment="1">
      <alignment horizontal="center" vertical="center"/>
    </xf>
    <xf numFmtId="0" fontId="0" fillId="15" borderId="184" xfId="0" applyFill="1" applyBorder="1" applyAlignment="1">
      <alignment horizontal="center" vertical="center"/>
    </xf>
    <xf numFmtId="0" fontId="0" fillId="0" borderId="87" xfId="0" applyBorder="1" applyAlignment="1">
      <alignment vertical="center"/>
    </xf>
    <xf numFmtId="0" fontId="15" fillId="7" borderId="45" xfId="0" applyFont="1" applyFill="1" applyBorder="1" applyAlignment="1">
      <alignment horizontal="center" vertical="center"/>
    </xf>
    <xf numFmtId="0" fontId="15" fillId="7" borderId="67" xfId="0" applyFont="1" applyFill="1" applyBorder="1" applyAlignment="1">
      <alignment horizontal="center" vertical="center"/>
    </xf>
    <xf numFmtId="0" fontId="40" fillId="3" borderId="169" xfId="0" applyFont="1" applyFill="1" applyBorder="1" applyAlignment="1">
      <alignment horizontal="center" vertical="center"/>
    </xf>
    <xf numFmtId="0" fontId="0" fillId="3" borderId="48" xfId="0" applyFill="1" applyBorder="1" applyAlignment="1">
      <alignment vertical="center"/>
    </xf>
    <xf numFmtId="0" fontId="12" fillId="8" borderId="201" xfId="0" applyFont="1" applyFill="1" applyBorder="1" applyAlignment="1">
      <alignment vertical="center"/>
    </xf>
    <xf numFmtId="0" fontId="0" fillId="3" borderId="202" xfId="0" applyFill="1" applyBorder="1" applyAlignment="1">
      <alignment vertical="center"/>
    </xf>
    <xf numFmtId="0" fontId="0" fillId="0" borderId="49" xfId="0" applyBorder="1" applyAlignment="1">
      <alignment vertical="center"/>
    </xf>
    <xf numFmtId="0" fontId="40" fillId="3" borderId="50" xfId="0" applyFont="1" applyFill="1" applyBorder="1" applyAlignment="1">
      <alignment vertical="center"/>
    </xf>
    <xf numFmtId="0" fontId="43" fillId="3" borderId="57" xfId="0" applyFont="1" applyFill="1" applyBorder="1" applyAlignment="1">
      <alignment horizontal="center" vertical="center"/>
    </xf>
    <xf numFmtId="0" fontId="43" fillId="3" borderId="88" xfId="0" applyFont="1" applyFill="1" applyBorder="1" applyAlignment="1">
      <alignment vertical="center"/>
    </xf>
    <xf numFmtId="0" fontId="43" fillId="3" borderId="56" xfId="0" applyFont="1" applyFill="1" applyBorder="1" applyAlignment="1">
      <alignment vertical="center"/>
    </xf>
    <xf numFmtId="0" fontId="56" fillId="0" borderId="0" xfId="0" applyFont="1" applyAlignment="1">
      <alignment horizontal="left" vertical="center" indent="1"/>
    </xf>
    <xf numFmtId="0" fontId="15" fillId="3" borderId="51" xfId="0" applyFont="1" applyFill="1" applyBorder="1" applyAlignment="1">
      <alignment horizontal="center" vertical="center"/>
    </xf>
    <xf numFmtId="0" fontId="15" fillId="3" borderId="53" xfId="0" applyFont="1" applyFill="1" applyBorder="1" applyAlignment="1">
      <alignment horizontal="center" vertical="center"/>
    </xf>
    <xf numFmtId="0" fontId="15" fillId="3" borderId="52" xfId="0" applyFont="1" applyFill="1" applyBorder="1" applyAlignment="1">
      <alignment horizontal="center" vertical="center"/>
    </xf>
    <xf numFmtId="0" fontId="43" fillId="3" borderId="205" xfId="0" applyFont="1" applyFill="1" applyBorder="1" applyAlignment="1">
      <alignment horizontal="center" vertical="center"/>
    </xf>
    <xf numFmtId="0" fontId="43" fillId="3" borderId="233" xfId="0" applyFont="1" applyFill="1" applyBorder="1" applyAlignment="1">
      <alignment horizontal="center" vertical="center"/>
    </xf>
    <xf numFmtId="0" fontId="52" fillId="3" borderId="181" xfId="0" applyFont="1" applyFill="1" applyBorder="1" applyAlignment="1">
      <alignment horizontal="right" vertical="center" indent="1"/>
    </xf>
    <xf numFmtId="0" fontId="0" fillId="15" borderId="234" xfId="0" applyFill="1" applyBorder="1" applyAlignment="1">
      <alignment horizontal="center" vertical="center"/>
    </xf>
    <xf numFmtId="0" fontId="0" fillId="15" borderId="182" xfId="0" applyFill="1" applyBorder="1" applyAlignment="1">
      <alignment horizontal="center" vertical="center"/>
    </xf>
    <xf numFmtId="0" fontId="52" fillId="0" borderId="0" xfId="0" applyFont="1" applyAlignment="1">
      <alignment vertical="top"/>
    </xf>
    <xf numFmtId="0" fontId="51" fillId="0" borderId="0" xfId="0" applyFont="1" applyAlignment="1">
      <alignment horizontal="right" vertical="top"/>
    </xf>
    <xf numFmtId="0" fontId="51" fillId="0" borderId="0" xfId="0" applyFont="1" applyAlignment="1">
      <alignment horizontal="center" vertical="top"/>
    </xf>
    <xf numFmtId="0" fontId="51" fillId="0" borderId="0" xfId="0" applyFont="1" applyAlignment="1">
      <alignment vertical="center"/>
    </xf>
    <xf numFmtId="0" fontId="0" fillId="9" borderId="0" xfId="0" applyFill="1" applyAlignment="1" applyProtection="1">
      <alignment vertical="center"/>
      <protection hidden="1"/>
    </xf>
    <xf numFmtId="0" fontId="0" fillId="3" borderId="0" xfId="0" applyFill="1" applyAlignment="1" applyProtection="1">
      <alignment vertical="center"/>
      <protection hidden="1"/>
    </xf>
    <xf numFmtId="0" fontId="0" fillId="4" borderId="0" xfId="0" applyFill="1" applyAlignment="1" applyProtection="1">
      <alignment vertical="center"/>
      <protection hidden="1"/>
    </xf>
    <xf numFmtId="0" fontId="4" fillId="4" borderId="0" xfId="0" applyFont="1" applyFill="1" applyAlignment="1" applyProtection="1">
      <alignment vertical="center"/>
      <protection hidden="1"/>
    </xf>
    <xf numFmtId="0" fontId="4" fillId="3" borderId="0" xfId="0" applyFont="1" applyFill="1" applyAlignment="1" applyProtection="1">
      <alignment vertical="center"/>
      <protection hidden="1"/>
    </xf>
    <xf numFmtId="0" fontId="15" fillId="9" borderId="1" xfId="0" applyFont="1" applyFill="1" applyBorder="1" applyAlignment="1" applyProtection="1">
      <alignment vertical="center"/>
      <protection hidden="1"/>
    </xf>
    <xf numFmtId="0" fontId="15" fillId="9" borderId="2" xfId="0" applyFont="1" applyFill="1" applyBorder="1" applyAlignment="1" applyProtection="1">
      <alignment vertical="center"/>
      <protection hidden="1"/>
    </xf>
    <xf numFmtId="0" fontId="15" fillId="9" borderId="3" xfId="0" applyFont="1" applyFill="1" applyBorder="1" applyAlignment="1" applyProtection="1">
      <alignment vertical="center"/>
      <protection hidden="1"/>
    </xf>
    <xf numFmtId="0" fontId="15" fillId="9" borderId="4" xfId="0" applyFont="1" applyFill="1" applyBorder="1" applyAlignment="1" applyProtection="1">
      <alignment vertical="center"/>
      <protection hidden="1"/>
    </xf>
    <xf numFmtId="0" fontId="47" fillId="9" borderId="0" xfId="0" applyFont="1" applyFill="1" applyAlignment="1" applyProtection="1">
      <alignment vertical="center"/>
      <protection hidden="1"/>
    </xf>
    <xf numFmtId="0" fontId="15" fillId="9" borderId="0" xfId="0" applyFont="1" applyFill="1" applyAlignment="1" applyProtection="1">
      <alignment vertical="center"/>
      <protection hidden="1"/>
    </xf>
    <xf numFmtId="0" fontId="15" fillId="9" borderId="5" xfId="0" applyFont="1" applyFill="1" applyBorder="1" applyAlignment="1" applyProtection="1">
      <alignment vertical="center"/>
      <protection hidden="1"/>
    </xf>
    <xf numFmtId="0" fontId="5" fillId="9" borderId="0" xfId="0" applyFont="1" applyFill="1" applyAlignment="1" applyProtection="1">
      <alignment vertical="center"/>
      <protection hidden="1"/>
    </xf>
    <xf numFmtId="0" fontId="18" fillId="9" borderId="0" xfId="0" applyFont="1" applyFill="1" applyAlignment="1" applyProtection="1">
      <alignment horizontal="left" vertical="center" indent="3"/>
      <protection hidden="1"/>
    </xf>
    <xf numFmtId="0" fontId="10" fillId="9" borderId="0" xfId="0" applyFont="1" applyFill="1" applyAlignment="1" applyProtection="1">
      <alignment horizontal="left" vertical="center" indent="3"/>
      <protection hidden="1"/>
    </xf>
    <xf numFmtId="0" fontId="26" fillId="9" borderId="0" xfId="0" applyFont="1" applyFill="1" applyAlignment="1" applyProtection="1">
      <alignment horizontal="left" vertical="center" indent="3"/>
      <protection hidden="1"/>
    </xf>
    <xf numFmtId="0" fontId="15" fillId="9" borderId="20" xfId="0" applyFont="1" applyFill="1" applyBorder="1" applyAlignment="1" applyProtection="1">
      <alignment vertical="center"/>
      <protection hidden="1"/>
    </xf>
    <xf numFmtId="0" fontId="15" fillId="9" borderId="18" xfId="0" applyFont="1" applyFill="1" applyBorder="1" applyAlignment="1" applyProtection="1">
      <alignment vertical="center"/>
      <protection hidden="1"/>
    </xf>
    <xf numFmtId="0" fontId="15" fillId="9" borderId="19" xfId="0" applyFont="1" applyFill="1" applyBorder="1" applyAlignment="1" applyProtection="1">
      <alignment vertical="center"/>
      <protection hidden="1"/>
    </xf>
    <xf numFmtId="0" fontId="15" fillId="9" borderId="73" xfId="0" applyFont="1" applyFill="1" applyBorder="1" applyAlignment="1" applyProtection="1">
      <alignment vertical="center"/>
      <protection hidden="1"/>
    </xf>
    <xf numFmtId="0" fontId="15" fillId="9" borderId="6" xfId="0" applyFont="1" applyFill="1" applyBorder="1" applyAlignment="1" applyProtection="1">
      <alignment vertical="center"/>
      <protection hidden="1"/>
    </xf>
    <xf numFmtId="0" fontId="15" fillId="9" borderId="7" xfId="0" applyFont="1" applyFill="1" applyBorder="1" applyAlignment="1" applyProtection="1">
      <alignment vertical="center"/>
      <protection hidden="1"/>
    </xf>
    <xf numFmtId="0" fontId="15" fillId="9" borderId="8" xfId="0" applyFont="1" applyFill="1" applyBorder="1" applyAlignment="1" applyProtection="1">
      <alignment vertical="center"/>
      <protection hidden="1"/>
    </xf>
    <xf numFmtId="0" fontId="15" fillId="3" borderId="9" xfId="0" applyFont="1" applyFill="1" applyBorder="1" applyAlignment="1" applyProtection="1">
      <alignment vertical="center"/>
      <protection hidden="1"/>
    </xf>
    <xf numFmtId="0" fontId="15" fillId="3" borderId="0" xfId="0" applyFont="1" applyFill="1" applyAlignment="1" applyProtection="1">
      <alignment vertical="center"/>
      <protection hidden="1"/>
    </xf>
    <xf numFmtId="0" fontId="0" fillId="3" borderId="5" xfId="0" applyFill="1" applyBorder="1" applyAlignment="1" applyProtection="1">
      <alignment vertical="center"/>
      <protection hidden="1"/>
    </xf>
    <xf numFmtId="0" fontId="15" fillId="4" borderId="1" xfId="0" applyFont="1" applyFill="1" applyBorder="1" applyAlignment="1" applyProtection="1">
      <alignment vertical="center"/>
      <protection hidden="1"/>
    </xf>
    <xf numFmtId="0" fontId="15" fillId="4" borderId="3" xfId="0" applyFont="1" applyFill="1" applyBorder="1" applyAlignment="1" applyProtection="1">
      <alignment vertical="center"/>
      <protection hidden="1"/>
    </xf>
    <xf numFmtId="0" fontId="15" fillId="3" borderId="20" xfId="0" applyFont="1" applyFill="1" applyBorder="1" applyAlignment="1" applyProtection="1">
      <alignment vertical="center"/>
      <protection hidden="1"/>
    </xf>
    <xf numFmtId="0" fontId="16" fillId="3" borderId="18" xfId="0" applyFont="1" applyFill="1" applyBorder="1" applyAlignment="1" applyProtection="1">
      <alignment vertical="center"/>
      <protection hidden="1"/>
    </xf>
    <xf numFmtId="0" fontId="15" fillId="3" borderId="18" xfId="0" applyFont="1" applyFill="1" applyBorder="1" applyAlignment="1" applyProtection="1">
      <alignment vertical="center"/>
      <protection hidden="1"/>
    </xf>
    <xf numFmtId="0" fontId="15" fillId="3" borderId="19" xfId="0" applyFont="1" applyFill="1" applyBorder="1" applyAlignment="1" applyProtection="1">
      <alignment vertical="center"/>
      <protection hidden="1"/>
    </xf>
    <xf numFmtId="0" fontId="2" fillId="10" borderId="0" xfId="0" applyFont="1" applyFill="1" applyAlignment="1" applyProtection="1">
      <alignment vertical="center"/>
      <protection hidden="1"/>
    </xf>
    <xf numFmtId="0" fontId="0" fillId="10" borderId="5" xfId="0" applyFill="1" applyBorder="1" applyAlignment="1" applyProtection="1">
      <alignment vertical="center"/>
      <protection hidden="1"/>
    </xf>
    <xf numFmtId="0" fontId="0" fillId="3" borderId="20" xfId="0" applyFill="1" applyBorder="1" applyAlignment="1" applyProtection="1">
      <alignment vertical="center"/>
      <protection hidden="1"/>
    </xf>
    <xf numFmtId="0" fontId="0" fillId="3" borderId="18" xfId="0" applyFill="1" applyBorder="1" applyAlignment="1" applyProtection="1">
      <alignment vertical="center"/>
      <protection hidden="1"/>
    </xf>
    <xf numFmtId="0" fontId="0" fillId="10" borderId="78" xfId="0" applyFill="1" applyBorder="1" applyAlignment="1" applyProtection="1">
      <alignment vertical="center"/>
      <protection hidden="1"/>
    </xf>
    <xf numFmtId="0" fontId="0" fillId="3" borderId="19" xfId="0" applyFill="1" applyBorder="1" applyAlignment="1" applyProtection="1">
      <alignment vertical="center"/>
      <protection hidden="1"/>
    </xf>
    <xf numFmtId="0" fontId="0" fillId="3" borderId="7" xfId="0" applyFill="1" applyBorder="1" applyAlignment="1" applyProtection="1">
      <alignment vertical="center"/>
      <protection hidden="1"/>
    </xf>
    <xf numFmtId="0" fontId="0" fillId="3" borderId="8" xfId="0" applyFill="1" applyBorder="1" applyAlignment="1" applyProtection="1">
      <alignment vertical="center"/>
      <protection hidden="1"/>
    </xf>
    <xf numFmtId="0" fontId="0" fillId="9" borderId="1" xfId="0" applyFill="1" applyBorder="1" applyAlignment="1" applyProtection="1">
      <alignment vertical="center"/>
      <protection hidden="1"/>
    </xf>
    <xf numFmtId="0" fontId="0" fillId="9" borderId="2" xfId="0" applyFill="1" applyBorder="1" applyAlignment="1" applyProtection="1">
      <alignment vertical="center"/>
      <protection hidden="1"/>
    </xf>
    <xf numFmtId="0" fontId="0" fillId="9" borderId="3" xfId="0" applyFill="1" applyBorder="1" applyAlignment="1" applyProtection="1">
      <alignment vertical="center"/>
      <protection hidden="1"/>
    </xf>
    <xf numFmtId="0" fontId="0" fillId="9" borderId="4" xfId="0" applyFill="1" applyBorder="1" applyAlignment="1" applyProtection="1">
      <alignment vertical="center"/>
      <protection hidden="1"/>
    </xf>
    <xf numFmtId="0" fontId="0" fillId="9" borderId="5" xfId="0" applyFill="1" applyBorder="1" applyAlignment="1" applyProtection="1">
      <alignment vertical="center"/>
      <protection hidden="1"/>
    </xf>
    <xf numFmtId="0" fontId="0" fillId="9" borderId="6" xfId="0" applyFill="1" applyBorder="1" applyAlignment="1" applyProtection="1">
      <alignment vertical="center"/>
      <protection hidden="1"/>
    </xf>
    <xf numFmtId="0" fontId="0" fillId="9" borderId="7" xfId="0" applyFill="1" applyBorder="1" applyAlignment="1" applyProtection="1">
      <alignment vertical="center"/>
      <protection hidden="1"/>
    </xf>
    <xf numFmtId="0" fontId="0" fillId="9" borderId="8" xfId="0" applyFill="1" applyBorder="1" applyAlignment="1" applyProtection="1">
      <alignment vertical="center"/>
      <protection hidden="1"/>
    </xf>
    <xf numFmtId="0" fontId="0" fillId="3" borderId="2" xfId="0" applyFill="1" applyBorder="1" applyAlignment="1" applyProtection="1">
      <alignment vertical="center"/>
      <protection hidden="1"/>
    </xf>
    <xf numFmtId="0" fontId="0" fillId="3" borderId="194" xfId="0" applyFill="1" applyBorder="1" applyAlignment="1" applyProtection="1">
      <alignment vertical="center"/>
      <protection hidden="1"/>
    </xf>
    <xf numFmtId="0" fontId="41" fillId="3" borderId="2" xfId="0" applyFont="1" applyFill="1" applyBorder="1" applyProtection="1">
      <protection hidden="1"/>
    </xf>
    <xf numFmtId="0" fontId="0" fillId="3" borderId="3" xfId="0" applyFill="1" applyBorder="1" applyAlignment="1" applyProtection="1">
      <alignment vertical="center"/>
      <protection hidden="1"/>
    </xf>
    <xf numFmtId="0" fontId="0" fillId="3" borderId="4" xfId="0" applyFill="1" applyBorder="1" applyAlignment="1" applyProtection="1">
      <alignment vertical="center"/>
      <protection hidden="1"/>
    </xf>
    <xf numFmtId="0" fontId="0" fillId="3" borderId="6" xfId="0" applyFill="1" applyBorder="1" applyAlignment="1" applyProtection="1">
      <alignment vertical="center"/>
      <protection hidden="1"/>
    </xf>
    <xf numFmtId="0" fontId="0" fillId="4" borderId="1" xfId="0" applyFill="1" applyBorder="1" applyAlignment="1" applyProtection="1">
      <alignment vertical="center"/>
      <protection hidden="1"/>
    </xf>
    <xf numFmtId="0" fontId="16" fillId="4" borderId="2" xfId="0" applyFont="1" applyFill="1" applyBorder="1" applyAlignment="1" applyProtection="1">
      <alignment vertical="center"/>
      <protection hidden="1"/>
    </xf>
    <xf numFmtId="0" fontId="0" fillId="4" borderId="2" xfId="0" applyFill="1" applyBorder="1" applyAlignment="1" applyProtection="1">
      <alignment vertical="center"/>
      <protection hidden="1"/>
    </xf>
    <xf numFmtId="0" fontId="0" fillId="4" borderId="3" xfId="0" applyFill="1" applyBorder="1" applyAlignment="1" applyProtection="1">
      <alignment vertical="center"/>
      <protection hidden="1"/>
    </xf>
    <xf numFmtId="0" fontId="2" fillId="3" borderId="0" xfId="0" applyFont="1" applyFill="1" applyAlignment="1" applyProtection="1">
      <alignment vertical="center"/>
      <protection hidden="1"/>
    </xf>
    <xf numFmtId="0" fontId="23" fillId="3" borderId="0" xfId="0" applyFont="1" applyFill="1" applyAlignment="1" applyProtection="1">
      <alignment vertical="center"/>
      <protection hidden="1"/>
    </xf>
    <xf numFmtId="0" fontId="31" fillId="3" borderId="0" xfId="0" applyFont="1" applyFill="1" applyAlignment="1" applyProtection="1">
      <alignment vertical="top"/>
      <protection hidden="1"/>
    </xf>
    <xf numFmtId="0" fontId="19" fillId="3" borderId="0" xfId="0" applyFont="1" applyFill="1" applyAlignment="1" applyProtection="1">
      <alignment vertical="top"/>
      <protection hidden="1"/>
    </xf>
    <xf numFmtId="0" fontId="15" fillId="3" borderId="0" xfId="0" applyFont="1" applyFill="1" applyAlignment="1" applyProtection="1">
      <alignment vertical="top"/>
      <protection hidden="1"/>
    </xf>
    <xf numFmtId="0" fontId="24" fillId="3" borderId="0" xfId="0" applyFont="1" applyFill="1" applyAlignment="1" applyProtection="1">
      <alignment horizontal="center" vertical="center"/>
      <protection hidden="1"/>
    </xf>
    <xf numFmtId="0" fontId="22" fillId="9" borderId="0" xfId="0" applyFont="1" applyFill="1" applyAlignment="1" applyProtection="1">
      <alignment horizontal="center" vertical="center"/>
      <protection hidden="1"/>
    </xf>
    <xf numFmtId="0" fontId="15" fillId="3" borderId="0" xfId="0" applyFont="1" applyFill="1" applyProtection="1">
      <protection hidden="1"/>
    </xf>
    <xf numFmtId="0" fontId="0" fillId="3" borderId="21" xfId="0" applyFill="1" applyBorder="1" applyAlignment="1" applyProtection="1">
      <alignment vertical="center"/>
      <protection hidden="1"/>
    </xf>
    <xf numFmtId="0" fontId="0" fillId="3" borderId="0" xfId="0" applyFill="1" applyAlignment="1" applyProtection="1">
      <alignment horizontal="left" vertical="center"/>
      <protection hidden="1"/>
    </xf>
    <xf numFmtId="0" fontId="0" fillId="3" borderId="22" xfId="0" applyFill="1" applyBorder="1" applyAlignment="1" applyProtection="1">
      <alignment vertical="center"/>
      <protection hidden="1"/>
    </xf>
    <xf numFmtId="0" fontId="0" fillId="10" borderId="24" xfId="0" applyFill="1" applyBorder="1" applyAlignment="1" applyProtection="1">
      <alignment vertical="center"/>
      <protection hidden="1"/>
    </xf>
    <xf numFmtId="0" fontId="0" fillId="10" borderId="0" xfId="0" applyFill="1" applyAlignment="1" applyProtection="1">
      <alignment vertical="center"/>
      <protection hidden="1"/>
    </xf>
    <xf numFmtId="0" fontId="0" fillId="10" borderId="21" xfId="0" applyFill="1" applyBorder="1" applyAlignment="1" applyProtection="1">
      <alignment vertical="center"/>
      <protection hidden="1"/>
    </xf>
    <xf numFmtId="0" fontId="0" fillId="3" borderId="15" xfId="0" applyFill="1" applyBorder="1" applyAlignment="1" applyProtection="1">
      <alignment horizontal="right" vertical="center" indent="1"/>
      <protection hidden="1"/>
    </xf>
    <xf numFmtId="0" fontId="0" fillId="3" borderId="14" xfId="0" applyFill="1" applyBorder="1" applyAlignment="1" applyProtection="1">
      <alignment vertical="center"/>
      <protection hidden="1"/>
    </xf>
    <xf numFmtId="0" fontId="0" fillId="3" borderId="13" xfId="0" applyFill="1" applyBorder="1" applyAlignment="1" applyProtection="1">
      <alignment vertical="center"/>
      <protection hidden="1"/>
    </xf>
    <xf numFmtId="0" fontId="20" fillId="3" borderId="17" xfId="0" applyFont="1" applyFill="1" applyBorder="1" applyAlignment="1" applyProtection="1">
      <alignment horizontal="center" vertical="center" wrapText="1"/>
      <protection hidden="1"/>
    </xf>
    <xf numFmtId="0" fontId="20" fillId="3" borderId="16" xfId="0" applyFont="1" applyFill="1" applyBorder="1" applyAlignment="1" applyProtection="1">
      <alignment horizontal="center" vertical="center" wrapText="1"/>
      <protection hidden="1"/>
    </xf>
    <xf numFmtId="0" fontId="17" fillId="3" borderId="0" xfId="0" applyFont="1" applyFill="1" applyAlignment="1" applyProtection="1">
      <alignment vertical="center"/>
      <protection hidden="1"/>
    </xf>
    <xf numFmtId="164" fontId="0" fillId="6" borderId="17" xfId="0" applyNumberFormat="1" applyFill="1" applyBorder="1" applyAlignment="1" applyProtection="1">
      <alignment horizontal="center" vertical="center"/>
      <protection locked="0" hidden="1"/>
    </xf>
    <xf numFmtId="164" fontId="0" fillId="6" borderId="16" xfId="0" applyNumberFormat="1" applyFill="1" applyBorder="1" applyAlignment="1" applyProtection="1">
      <alignment horizontal="center" vertical="center"/>
      <protection locked="0" hidden="1"/>
    </xf>
    <xf numFmtId="0" fontId="17" fillId="3" borderId="14" xfId="0" applyFont="1" applyFill="1" applyBorder="1" applyAlignment="1" applyProtection="1">
      <alignment vertical="center"/>
      <protection hidden="1"/>
    </xf>
    <xf numFmtId="0" fontId="17" fillId="0" borderId="0" xfId="0" applyFont="1" applyAlignment="1" applyProtection="1">
      <alignment vertical="center"/>
      <protection hidden="1"/>
    </xf>
    <xf numFmtId="0" fontId="14" fillId="3" borderId="0" xfId="0" applyFont="1" applyFill="1" applyAlignment="1" applyProtection="1">
      <alignment horizontal="left" vertical="center" indent="1"/>
      <protection hidden="1"/>
    </xf>
    <xf numFmtId="0" fontId="0" fillId="3" borderId="0" xfId="0" applyFill="1" applyProtection="1">
      <protection hidden="1"/>
    </xf>
    <xf numFmtId="0" fontId="14" fillId="3" borderId="0" xfId="0" applyFont="1" applyFill="1" applyAlignment="1" applyProtection="1">
      <alignment horizontal="left" vertical="center"/>
      <protection hidden="1"/>
    </xf>
    <xf numFmtId="0" fontId="20" fillId="3" borderId="0" xfId="0" applyFont="1" applyFill="1" applyAlignment="1" applyProtection="1">
      <alignment horizontal="center" vertical="center"/>
      <protection hidden="1"/>
    </xf>
    <xf numFmtId="164" fontId="0" fillId="6" borderId="12" xfId="0" applyNumberFormat="1" applyFill="1" applyBorder="1" applyAlignment="1" applyProtection="1">
      <alignment horizontal="center" vertical="center"/>
      <protection locked="0" hidden="1"/>
    </xf>
    <xf numFmtId="0" fontId="0" fillId="3" borderId="0" xfId="0" quotePrefix="1" applyFill="1" applyAlignment="1" applyProtection="1">
      <alignment vertical="center"/>
      <protection hidden="1"/>
    </xf>
    <xf numFmtId="0" fontId="0" fillId="10" borderId="4" xfId="0" applyFill="1" applyBorder="1" applyAlignment="1" applyProtection="1">
      <alignment vertical="center"/>
      <protection hidden="1"/>
    </xf>
    <xf numFmtId="0" fontId="0" fillId="3" borderId="23" xfId="0" applyFill="1" applyBorder="1" applyAlignment="1" applyProtection="1">
      <alignment vertical="center"/>
      <protection hidden="1"/>
    </xf>
    <xf numFmtId="0" fontId="0" fillId="9" borderId="20" xfId="0" applyFill="1" applyBorder="1" applyAlignment="1" applyProtection="1">
      <alignment vertical="center"/>
      <protection hidden="1"/>
    </xf>
    <xf numFmtId="0" fontId="2" fillId="9" borderId="18" xfId="0" applyFont="1" applyFill="1" applyBorder="1" applyAlignment="1" applyProtection="1">
      <alignment vertical="center"/>
      <protection hidden="1"/>
    </xf>
    <xf numFmtId="0" fontId="0" fillId="9" borderId="18" xfId="0" applyFill="1" applyBorder="1" applyAlignment="1" applyProtection="1">
      <alignment vertical="center"/>
      <protection hidden="1"/>
    </xf>
    <xf numFmtId="0" fontId="0" fillId="9" borderId="19" xfId="0" applyFill="1" applyBorder="1" applyAlignment="1" applyProtection="1">
      <alignment vertical="center"/>
      <protection hidden="1"/>
    </xf>
    <xf numFmtId="0" fontId="20" fillId="3" borderId="7" xfId="0" applyFont="1" applyFill="1" applyBorder="1" applyAlignment="1" applyProtection="1">
      <alignment horizontal="right" vertical="top"/>
      <protection hidden="1"/>
    </xf>
    <xf numFmtId="164" fontId="20" fillId="3" borderId="7" xfId="0" applyNumberFormat="1" applyFont="1" applyFill="1" applyBorder="1" applyAlignment="1" applyProtection="1">
      <alignment horizontal="center" vertical="top"/>
      <protection hidden="1"/>
    </xf>
    <xf numFmtId="0" fontId="28" fillId="3" borderId="0" xfId="0" applyFont="1" applyFill="1" applyAlignment="1" applyProtection="1">
      <alignment horizontal="center" vertical="center"/>
      <protection hidden="1"/>
    </xf>
    <xf numFmtId="0" fontId="20" fillId="3" borderId="0" xfId="0" applyFont="1" applyFill="1" applyAlignment="1" applyProtection="1">
      <alignment horizontal="right" vertical="top"/>
      <protection hidden="1"/>
    </xf>
    <xf numFmtId="0" fontId="20" fillId="3" borderId="0" xfId="0" applyFont="1" applyFill="1" applyAlignment="1" applyProtection="1">
      <alignment horizontal="center" vertical="top"/>
      <protection hidden="1"/>
    </xf>
    <xf numFmtId="0" fontId="3" fillId="3" borderId="0" xfId="0" applyFont="1" applyFill="1" applyAlignment="1" applyProtection="1">
      <alignment vertical="center"/>
      <protection hidden="1"/>
    </xf>
    <xf numFmtId="0" fontId="0" fillId="3" borderId="73" xfId="0" applyFill="1" applyBorder="1" applyAlignment="1" applyProtection="1">
      <alignment vertical="center"/>
      <protection hidden="1"/>
    </xf>
    <xf numFmtId="0" fontId="30" fillId="3" borderId="0" xfId="0" applyFont="1" applyFill="1" applyAlignment="1" applyProtection="1">
      <alignment vertical="center"/>
      <protection hidden="1"/>
    </xf>
    <xf numFmtId="0" fontId="0" fillId="3" borderId="72" xfId="0" applyFill="1" applyBorder="1" applyAlignment="1" applyProtection="1">
      <alignment vertical="center"/>
      <protection hidden="1"/>
    </xf>
    <xf numFmtId="0" fontId="2" fillId="10" borderId="77" xfId="0" applyFont="1" applyFill="1" applyBorder="1" applyAlignment="1" applyProtection="1">
      <alignment vertical="center"/>
      <protection hidden="1"/>
    </xf>
    <xf numFmtId="0" fontId="0" fillId="10" borderId="77" xfId="0" applyFill="1" applyBorder="1" applyAlignment="1" applyProtection="1">
      <alignment vertical="center"/>
      <protection hidden="1"/>
    </xf>
    <xf numFmtId="0" fontId="0" fillId="3" borderId="74" xfId="0" applyFill="1" applyBorder="1" applyAlignment="1" applyProtection="1">
      <alignment vertical="center"/>
      <protection hidden="1"/>
    </xf>
    <xf numFmtId="0" fontId="0" fillId="3" borderId="75" xfId="0" applyFill="1" applyBorder="1" applyAlignment="1" applyProtection="1">
      <alignment vertical="center"/>
      <protection hidden="1"/>
    </xf>
    <xf numFmtId="0" fontId="15" fillId="3" borderId="75" xfId="0" applyFont="1" applyFill="1" applyBorder="1" applyAlignment="1" applyProtection="1">
      <alignment vertical="top"/>
      <protection hidden="1"/>
    </xf>
    <xf numFmtId="0" fontId="0" fillId="3" borderId="76" xfId="0" applyFill="1" applyBorder="1" applyAlignment="1" applyProtection="1">
      <alignment vertical="center"/>
      <protection hidden="1"/>
    </xf>
    <xf numFmtId="0" fontId="0" fillId="3" borderId="5" xfId="0" applyFill="1" applyBorder="1" applyProtection="1">
      <protection hidden="1"/>
    </xf>
    <xf numFmtId="0" fontId="0" fillId="3" borderId="4" xfId="0" applyFill="1" applyBorder="1" applyProtection="1">
      <protection hidden="1"/>
    </xf>
    <xf numFmtId="0" fontId="34" fillId="3" borderId="0" xfId="0" applyFont="1" applyFill="1" applyProtection="1">
      <protection hidden="1"/>
    </xf>
    <xf numFmtId="0" fontId="0" fillId="3" borderId="73" xfId="0" applyFill="1" applyBorder="1" applyProtection="1">
      <protection hidden="1"/>
    </xf>
    <xf numFmtId="0" fontId="0" fillId="4" borderId="0" xfId="0" applyFill="1" applyProtection="1">
      <protection hidden="1"/>
    </xf>
    <xf numFmtId="0" fontId="32" fillId="3" borderId="0" xfId="0" applyFont="1" applyFill="1" applyAlignment="1" applyProtection="1">
      <alignment horizontal="left" vertical="center" indent="2"/>
      <protection hidden="1"/>
    </xf>
    <xf numFmtId="0" fontId="0" fillId="3" borderId="79" xfId="0" applyFill="1" applyBorder="1" applyAlignment="1" applyProtection="1">
      <alignment vertical="center"/>
      <protection hidden="1"/>
    </xf>
    <xf numFmtId="0" fontId="33" fillId="3" borderId="0" xfId="0" applyFont="1" applyFill="1" applyAlignment="1" applyProtection="1">
      <alignment horizontal="left" vertical="center" indent="2"/>
      <protection hidden="1"/>
    </xf>
    <xf numFmtId="0" fontId="32" fillId="3" borderId="0" xfId="0" applyFont="1" applyFill="1" applyAlignment="1" applyProtection="1">
      <alignment vertical="center"/>
      <protection hidden="1"/>
    </xf>
    <xf numFmtId="0" fontId="0" fillId="3" borderId="80" xfId="0" applyFill="1" applyBorder="1" applyAlignment="1" applyProtection="1">
      <alignment vertical="center"/>
      <protection hidden="1"/>
    </xf>
    <xf numFmtId="0" fontId="0" fillId="3" borderId="82" xfId="0" applyFill="1" applyBorder="1" applyAlignment="1" applyProtection="1">
      <alignment vertical="center"/>
      <protection hidden="1"/>
    </xf>
    <xf numFmtId="0" fontId="0" fillId="3" borderId="81" xfId="0" applyFill="1" applyBorder="1" applyAlignment="1" applyProtection="1">
      <alignment vertical="center"/>
      <protection hidden="1"/>
    </xf>
    <xf numFmtId="0" fontId="1" fillId="9" borderId="0" xfId="0" applyFont="1" applyFill="1" applyAlignment="1" applyProtection="1">
      <alignment vertical="center"/>
      <protection hidden="1"/>
    </xf>
    <xf numFmtId="0" fontId="0" fillId="9" borderId="93" xfId="0" applyFill="1" applyBorder="1" applyAlignment="1" applyProtection="1">
      <alignment horizontal="left" vertical="center" indent="1"/>
      <protection hidden="1"/>
    </xf>
    <xf numFmtId="0" fontId="20" fillId="9" borderId="106" xfId="0" applyFont="1" applyFill="1" applyBorder="1" applyAlignment="1" applyProtection="1">
      <alignment horizontal="center" vertical="center" wrapText="1"/>
      <protection hidden="1"/>
    </xf>
    <xf numFmtId="0" fontId="20" fillId="9" borderId="107" xfId="0" applyFont="1" applyFill="1" applyBorder="1" applyAlignment="1" applyProtection="1">
      <alignment horizontal="center" vertical="center" wrapText="1"/>
      <protection hidden="1"/>
    </xf>
    <xf numFmtId="0" fontId="20" fillId="9" borderId="108" xfId="0" applyFont="1" applyFill="1" applyBorder="1" applyAlignment="1" applyProtection="1">
      <alignment horizontal="center" vertical="center" wrapText="1"/>
      <protection hidden="1"/>
    </xf>
    <xf numFmtId="0" fontId="0" fillId="9" borderId="21" xfId="0" applyFill="1" applyBorder="1" applyAlignment="1" applyProtection="1">
      <alignment vertical="center"/>
      <protection hidden="1"/>
    </xf>
    <xf numFmtId="165" fontId="0" fillId="9" borderId="101" xfId="0" applyNumberFormat="1" applyFill="1" applyBorder="1" applyAlignment="1" applyProtection="1">
      <alignment horizontal="center" vertical="center"/>
      <protection hidden="1"/>
    </xf>
    <xf numFmtId="165" fontId="0" fillId="9" borderId="112" xfId="0" applyNumberFormat="1" applyFill="1" applyBorder="1" applyAlignment="1" applyProtection="1">
      <alignment horizontal="center" vertical="center"/>
      <protection hidden="1"/>
    </xf>
    <xf numFmtId="166" fontId="0" fillId="9" borderId="125" xfId="1" applyNumberFormat="1" applyFont="1" applyFill="1" applyBorder="1" applyAlignment="1" applyProtection="1">
      <alignment horizontal="center" vertical="center"/>
      <protection hidden="1"/>
    </xf>
    <xf numFmtId="165" fontId="0" fillId="9" borderId="102" xfId="0" applyNumberFormat="1" applyFill="1" applyBorder="1" applyAlignment="1" applyProtection="1">
      <alignment horizontal="center" vertical="center"/>
      <protection hidden="1"/>
    </xf>
    <xf numFmtId="165" fontId="0" fillId="9" borderId="113" xfId="0" applyNumberFormat="1" applyFill="1" applyBorder="1" applyAlignment="1" applyProtection="1">
      <alignment horizontal="center" vertical="center"/>
      <protection hidden="1"/>
    </xf>
    <xf numFmtId="166" fontId="0" fillId="9" borderId="21" xfId="1" applyNumberFormat="1" applyFont="1" applyFill="1" applyBorder="1" applyAlignment="1" applyProtection="1">
      <alignment horizontal="center" vertical="center"/>
      <protection hidden="1"/>
    </xf>
    <xf numFmtId="165" fontId="0" fillId="9" borderId="103" xfId="0" applyNumberFormat="1" applyFill="1" applyBorder="1" applyAlignment="1" applyProtection="1">
      <alignment horizontal="center" vertical="center"/>
      <protection hidden="1"/>
    </xf>
    <xf numFmtId="165" fontId="0" fillId="9" borderId="114" xfId="0" applyNumberFormat="1" applyFill="1" applyBorder="1" applyAlignment="1" applyProtection="1">
      <alignment horizontal="center" vertical="center"/>
      <protection hidden="1"/>
    </xf>
    <xf numFmtId="166" fontId="0" fillId="9" borderId="124" xfId="1" applyNumberFormat="1" applyFont="1" applyFill="1" applyBorder="1" applyAlignment="1" applyProtection="1">
      <alignment horizontal="center" vertical="center"/>
      <protection hidden="1"/>
    </xf>
    <xf numFmtId="0" fontId="0" fillId="9" borderId="103" xfId="0" quotePrefix="1" applyFill="1" applyBorder="1" applyAlignment="1" applyProtection="1">
      <alignment horizontal="center" vertical="center"/>
      <protection hidden="1"/>
    </xf>
    <xf numFmtId="0" fontId="0" fillId="9" borderId="109" xfId="1" quotePrefix="1" applyNumberFormat="1" applyFont="1" applyFill="1" applyBorder="1" applyAlignment="1" applyProtection="1">
      <alignment horizontal="center" vertical="center"/>
      <protection hidden="1"/>
    </xf>
    <xf numFmtId="165" fontId="0" fillId="10" borderId="121" xfId="0" applyNumberFormat="1" applyFill="1" applyBorder="1" applyAlignment="1" applyProtection="1">
      <alignment horizontal="center" vertical="center"/>
      <protection hidden="1"/>
    </xf>
    <xf numFmtId="165" fontId="0" fillId="10" borderId="119" xfId="0" applyNumberFormat="1" applyFill="1" applyBorder="1" applyAlignment="1" applyProtection="1">
      <alignment horizontal="center" vertical="center"/>
      <protection hidden="1"/>
    </xf>
    <xf numFmtId="166" fontId="0" fillId="10" borderId="120" xfId="1" applyNumberFormat="1" applyFont="1" applyFill="1" applyBorder="1" applyAlignment="1" applyProtection="1">
      <alignment horizontal="center" vertical="center"/>
      <protection hidden="1"/>
    </xf>
    <xf numFmtId="165" fontId="0" fillId="9" borderId="105" xfId="0" applyNumberFormat="1" applyFill="1" applyBorder="1" applyAlignment="1" applyProtection="1">
      <alignment horizontal="center" vertical="center"/>
      <protection hidden="1"/>
    </xf>
    <xf numFmtId="165" fontId="0" fillId="9" borderId="116" xfId="0" applyNumberFormat="1" applyFill="1" applyBorder="1" applyAlignment="1" applyProtection="1">
      <alignment horizontal="center" vertical="center"/>
      <protection hidden="1"/>
    </xf>
    <xf numFmtId="166" fontId="0" fillId="9" borderId="111" xfId="1" applyNumberFormat="1" applyFont="1" applyFill="1" applyBorder="1" applyAlignment="1" applyProtection="1">
      <alignment horizontal="center" vertical="center"/>
      <protection hidden="1"/>
    </xf>
    <xf numFmtId="166" fontId="0" fillId="9" borderId="126" xfId="1" applyNumberFormat="1" applyFont="1" applyFill="1" applyBorder="1" applyAlignment="1" applyProtection="1">
      <alignment horizontal="center" vertical="center"/>
      <protection hidden="1"/>
    </xf>
    <xf numFmtId="165" fontId="0" fillId="10" borderId="118" xfId="0" applyNumberFormat="1" applyFill="1" applyBorder="1" applyAlignment="1" applyProtection="1">
      <alignment horizontal="center" vertical="center"/>
      <protection hidden="1"/>
    </xf>
    <xf numFmtId="165" fontId="0" fillId="10" borderId="117" xfId="0" applyNumberFormat="1" applyFill="1" applyBorder="1" applyAlignment="1" applyProtection="1">
      <alignment horizontal="center" vertical="center"/>
      <protection hidden="1"/>
    </xf>
    <xf numFmtId="0" fontId="0" fillId="9" borderId="109" xfId="0" quotePrefix="1" applyFill="1" applyBorder="1" applyAlignment="1" applyProtection="1">
      <alignment horizontal="center" vertical="center"/>
      <protection hidden="1"/>
    </xf>
    <xf numFmtId="165" fontId="0" fillId="9" borderId="122" xfId="0" applyNumberFormat="1" applyFill="1" applyBorder="1" applyAlignment="1" applyProtection="1">
      <alignment horizontal="center" vertical="center"/>
      <protection hidden="1"/>
    </xf>
    <xf numFmtId="165" fontId="0" fillId="9" borderId="123" xfId="0" applyNumberFormat="1" applyFill="1" applyBorder="1" applyAlignment="1" applyProtection="1">
      <alignment horizontal="center" vertical="center"/>
      <protection hidden="1"/>
    </xf>
    <xf numFmtId="0" fontId="0" fillId="9" borderId="118" xfId="0" quotePrefix="1" applyFill="1" applyBorder="1" applyAlignment="1" applyProtection="1">
      <alignment horizontal="center" vertical="center"/>
      <protection hidden="1"/>
    </xf>
    <xf numFmtId="165" fontId="0" fillId="9" borderId="117" xfId="0" applyNumberFormat="1" applyFill="1" applyBorder="1" applyAlignment="1" applyProtection="1">
      <alignment horizontal="center" vertical="center"/>
      <protection hidden="1"/>
    </xf>
    <xf numFmtId="0" fontId="0" fillId="9" borderId="120" xfId="0" quotePrefix="1" applyFill="1" applyBorder="1" applyAlignment="1" applyProtection="1">
      <alignment horizontal="center" vertical="center"/>
      <protection hidden="1"/>
    </xf>
    <xf numFmtId="165" fontId="2" fillId="10" borderId="104" xfId="0" applyNumberFormat="1" applyFont="1" applyFill="1" applyBorder="1" applyAlignment="1" applyProtection="1">
      <alignment horizontal="center" vertical="center"/>
      <protection hidden="1"/>
    </xf>
    <xf numFmtId="165" fontId="2" fillId="10" borderId="115" xfId="0" applyNumberFormat="1" applyFont="1" applyFill="1" applyBorder="1" applyAlignment="1" applyProtection="1">
      <alignment horizontal="center" vertical="center"/>
      <protection hidden="1"/>
    </xf>
    <xf numFmtId="166" fontId="2" fillId="10" borderId="110" xfId="0" applyNumberFormat="1" applyFont="1" applyFill="1" applyBorder="1" applyAlignment="1" applyProtection="1">
      <alignment horizontal="center" vertical="center"/>
      <protection hidden="1"/>
    </xf>
    <xf numFmtId="0" fontId="0" fillId="3" borderId="9" xfId="0" applyFill="1" applyBorder="1" applyAlignment="1" applyProtection="1">
      <alignment vertical="center"/>
      <protection hidden="1"/>
    </xf>
    <xf numFmtId="0" fontId="0" fillId="3" borderId="0" xfId="0" applyFill="1" applyAlignment="1" applyProtection="1">
      <alignment horizontal="right" vertical="top" indent="1"/>
      <protection hidden="1"/>
    </xf>
    <xf numFmtId="0" fontId="0" fillId="3" borderId="127" xfId="0" applyFill="1" applyBorder="1" applyAlignment="1" applyProtection="1">
      <alignment vertical="center"/>
      <protection hidden="1"/>
    </xf>
    <xf numFmtId="0" fontId="0" fillId="3" borderId="0" xfId="0" applyFill="1" applyAlignment="1" applyProtection="1">
      <alignment horizontal="right" vertical="center" indent="1"/>
      <protection hidden="1"/>
    </xf>
    <xf numFmtId="0" fontId="0" fillId="3" borderId="91" xfId="0" applyFill="1" applyBorder="1" applyAlignment="1" applyProtection="1">
      <alignment vertical="center"/>
      <protection hidden="1"/>
    </xf>
    <xf numFmtId="0" fontId="0" fillId="3" borderId="0" xfId="0" applyFill="1" applyAlignment="1" applyProtection="1">
      <alignment horizontal="right" vertical="center"/>
      <protection hidden="1"/>
    </xf>
    <xf numFmtId="0" fontId="2" fillId="3" borderId="75" xfId="0" applyFont="1" applyFill="1" applyBorder="1" applyAlignment="1" applyProtection="1">
      <alignment vertical="center"/>
      <protection hidden="1"/>
    </xf>
    <xf numFmtId="0" fontId="0" fillId="3" borderId="75" xfId="0" quotePrefix="1" applyFill="1" applyBorder="1" applyAlignment="1" applyProtection="1">
      <alignment horizontal="right" vertical="center" indent="1"/>
      <protection hidden="1"/>
    </xf>
    <xf numFmtId="0" fontId="0" fillId="18" borderId="73" xfId="0" applyFill="1" applyBorder="1" applyAlignment="1" applyProtection="1">
      <alignment vertical="center"/>
      <protection hidden="1"/>
    </xf>
    <xf numFmtId="0" fontId="26" fillId="4" borderId="3" xfId="0" applyFont="1" applyFill="1" applyBorder="1" applyAlignment="1" applyProtection="1">
      <alignment vertical="center" wrapText="1"/>
      <protection hidden="1"/>
    </xf>
    <xf numFmtId="0" fontId="0" fillId="3" borderId="134" xfId="0" applyFill="1" applyBorder="1" applyAlignment="1" applyProtection="1">
      <alignment vertical="center"/>
      <protection hidden="1"/>
    </xf>
    <xf numFmtId="0" fontId="30" fillId="3" borderId="21" xfId="0" applyFont="1" applyFill="1" applyBorder="1" applyAlignment="1" applyProtection="1">
      <alignment horizontal="center" vertical="center" wrapText="1"/>
      <protection hidden="1"/>
    </xf>
    <xf numFmtId="0" fontId="0" fillId="3" borderId="21" xfId="0" applyFill="1" applyBorder="1" applyProtection="1">
      <protection hidden="1"/>
    </xf>
    <xf numFmtId="0" fontId="0" fillId="3" borderId="137" xfId="0" applyFill="1" applyBorder="1" applyAlignment="1" applyProtection="1">
      <alignment vertical="center"/>
      <protection hidden="1"/>
    </xf>
    <xf numFmtId="0" fontId="0" fillId="3" borderId="206" xfId="0" applyFill="1" applyBorder="1" applyAlignment="1" applyProtection="1">
      <alignment vertical="center"/>
      <protection hidden="1"/>
    </xf>
    <xf numFmtId="0" fontId="0" fillId="3" borderId="136" xfId="0" applyFill="1" applyBorder="1" applyAlignment="1" applyProtection="1">
      <alignment vertical="center"/>
      <protection hidden="1"/>
    </xf>
    <xf numFmtId="0" fontId="0" fillId="3" borderId="18" xfId="0" applyFill="1" applyBorder="1" applyAlignment="1" applyProtection="1">
      <alignment horizontal="center" vertical="center"/>
      <protection hidden="1"/>
    </xf>
    <xf numFmtId="0" fontId="0" fillId="13" borderId="217" xfId="0" applyFill="1" applyBorder="1" applyAlignment="1" applyProtection="1">
      <alignment horizontal="center" vertical="center"/>
      <protection hidden="1"/>
    </xf>
    <xf numFmtId="0" fontId="0" fillId="10" borderId="217" xfId="0" applyFill="1" applyBorder="1" applyAlignment="1" applyProtection="1">
      <alignment horizontal="right" vertical="center"/>
      <protection hidden="1"/>
    </xf>
    <xf numFmtId="164" fontId="2" fillId="9" borderId="212" xfId="0" applyNumberFormat="1" applyFont="1" applyFill="1" applyBorder="1" applyAlignment="1" applyProtection="1">
      <alignment horizontal="center" vertical="center"/>
      <protection hidden="1"/>
    </xf>
    <xf numFmtId="164" fontId="2" fillId="10" borderId="212" xfId="0" applyNumberFormat="1" applyFont="1" applyFill="1" applyBorder="1" applyAlignment="1" applyProtection="1">
      <alignment horizontal="center" vertical="center"/>
      <protection hidden="1"/>
    </xf>
    <xf numFmtId="164" fontId="2" fillId="13" borderId="212" xfId="0" applyNumberFormat="1" applyFont="1" applyFill="1" applyBorder="1" applyAlignment="1" applyProtection="1">
      <alignment horizontal="center" vertical="center"/>
      <protection hidden="1"/>
    </xf>
    <xf numFmtId="164" fontId="2" fillId="9" borderId="210" xfId="0" applyNumberFormat="1" applyFont="1" applyFill="1" applyBorder="1" applyAlignment="1" applyProtection="1">
      <alignment horizontal="center" vertical="center"/>
      <protection hidden="1"/>
    </xf>
    <xf numFmtId="164" fontId="2" fillId="10" borderId="210" xfId="0" applyNumberFormat="1" applyFont="1" applyFill="1" applyBorder="1" applyAlignment="1" applyProtection="1">
      <alignment horizontal="center" vertical="center"/>
      <protection hidden="1"/>
    </xf>
    <xf numFmtId="164" fontId="2" fillId="13" borderId="210" xfId="0" applyNumberFormat="1" applyFont="1" applyFill="1" applyBorder="1" applyAlignment="1" applyProtection="1">
      <alignment horizontal="center" vertical="center"/>
      <protection hidden="1"/>
    </xf>
    <xf numFmtId="164" fontId="38" fillId="3" borderId="225" xfId="0" applyNumberFormat="1" applyFont="1" applyFill="1" applyBorder="1" applyAlignment="1" applyProtection="1">
      <alignment horizontal="center" vertical="center"/>
      <protection hidden="1"/>
    </xf>
    <xf numFmtId="164" fontId="0" fillId="6" borderId="212" xfId="0" applyNumberFormat="1" applyFill="1" applyBorder="1" applyAlignment="1" applyProtection="1">
      <alignment horizontal="center" vertical="center"/>
      <protection locked="0" hidden="1"/>
    </xf>
    <xf numFmtId="164" fontId="0" fillId="6" borderId="210" xfId="0" applyNumberFormat="1" applyFill="1" applyBorder="1" applyAlignment="1" applyProtection="1">
      <alignment horizontal="center" vertical="center"/>
      <protection locked="0" hidden="1"/>
    </xf>
    <xf numFmtId="164" fontId="0" fillId="6" borderId="225" xfId="0" applyNumberFormat="1" applyFill="1" applyBorder="1" applyAlignment="1" applyProtection="1">
      <alignment horizontal="center" vertical="center"/>
      <protection locked="0" hidden="1"/>
    </xf>
    <xf numFmtId="164" fontId="0" fillId="3" borderId="229" xfId="0" quotePrefix="1" applyNumberFormat="1" applyFill="1" applyBorder="1" applyAlignment="1" applyProtection="1">
      <alignment horizontal="center" vertical="center"/>
      <protection hidden="1"/>
    </xf>
    <xf numFmtId="164" fontId="0" fillId="6" borderId="229" xfId="0" applyNumberFormat="1" applyFill="1" applyBorder="1" applyAlignment="1" applyProtection="1">
      <alignment horizontal="center" vertical="center"/>
      <protection locked="0" hidden="1"/>
    </xf>
    <xf numFmtId="0" fontId="37" fillId="3" borderId="0" xfId="0" applyFont="1" applyFill="1" applyAlignment="1" applyProtection="1">
      <alignment vertical="center"/>
      <protection hidden="1"/>
    </xf>
    <xf numFmtId="0" fontId="0" fillId="3" borderId="0" xfId="0" applyFill="1" applyAlignment="1" applyProtection="1">
      <alignment horizontal="center" vertical="center"/>
      <protection hidden="1"/>
    </xf>
    <xf numFmtId="0" fontId="0" fillId="2" borderId="0" xfId="0" applyFill="1" applyAlignment="1" applyProtection="1">
      <alignment vertical="center"/>
      <protection hidden="1"/>
    </xf>
    <xf numFmtId="0" fontId="35" fillId="3" borderId="0" xfId="0" applyFont="1" applyFill="1" applyAlignment="1" applyProtection="1">
      <alignment horizontal="center" vertical="center"/>
      <protection hidden="1"/>
    </xf>
    <xf numFmtId="0" fontId="0" fillId="2" borderId="5" xfId="0" applyFill="1" applyBorder="1" applyAlignment="1" applyProtection="1">
      <alignment vertical="center"/>
      <protection hidden="1"/>
    </xf>
    <xf numFmtId="0" fontId="42" fillId="3" borderId="0" xfId="0" applyFont="1" applyFill="1" applyAlignment="1" applyProtection="1">
      <alignment horizontal="left" vertical="center" indent="2"/>
      <protection hidden="1"/>
    </xf>
    <xf numFmtId="0" fontId="0" fillId="0" borderId="237" xfId="0" applyBorder="1" applyAlignment="1">
      <alignment vertical="center"/>
    </xf>
    <xf numFmtId="0" fontId="12" fillId="8" borderId="238" xfId="0" applyFont="1" applyFill="1" applyBorder="1" applyAlignment="1">
      <alignment horizontal="center" vertical="center"/>
    </xf>
    <xf numFmtId="0" fontId="12" fillId="8" borderId="45" xfId="0" applyFont="1" applyFill="1" applyBorder="1" applyAlignment="1">
      <alignment horizontal="center" vertical="center"/>
    </xf>
    <xf numFmtId="0" fontId="0" fillId="0" borderId="241" xfId="0" applyBorder="1" applyAlignment="1">
      <alignment vertical="center"/>
    </xf>
    <xf numFmtId="0" fontId="12" fillId="8" borderId="27" xfId="0" applyFont="1" applyFill="1" applyBorder="1" applyAlignment="1">
      <alignment horizontal="center" vertical="center"/>
    </xf>
    <xf numFmtId="0" fontId="0" fillId="8" borderId="236" xfId="0" applyFill="1" applyBorder="1" applyAlignment="1">
      <alignment vertical="center"/>
    </xf>
    <xf numFmtId="0" fontId="0" fillId="8" borderId="239" xfId="0" applyFill="1" applyBorder="1" applyAlignment="1">
      <alignment vertical="center"/>
    </xf>
    <xf numFmtId="0" fontId="0" fillId="8" borderId="240" xfId="0" applyFill="1" applyBorder="1" applyAlignment="1">
      <alignment vertical="center"/>
    </xf>
    <xf numFmtId="0" fontId="4" fillId="9" borderId="0" xfId="0" applyFont="1" applyFill="1" applyAlignment="1" applyProtection="1">
      <alignment vertical="center"/>
      <protection hidden="1"/>
    </xf>
    <xf numFmtId="0" fontId="37" fillId="3" borderId="7" xfId="0" applyFont="1" applyFill="1" applyBorder="1" applyAlignment="1" applyProtection="1">
      <alignment horizontal="right" vertical="top"/>
      <protection hidden="1"/>
    </xf>
    <xf numFmtId="0" fontId="37" fillId="3" borderId="0" xfId="0" applyFont="1" applyFill="1" applyAlignment="1" applyProtection="1">
      <alignment horizontal="right" vertical="top"/>
      <protection hidden="1"/>
    </xf>
    <xf numFmtId="0" fontId="2" fillId="15" borderId="195" xfId="0" applyFont="1" applyFill="1" applyBorder="1" applyAlignment="1" applyProtection="1">
      <alignment horizontal="center" vertical="center"/>
      <protection hidden="1"/>
    </xf>
    <xf numFmtId="0" fontId="2" fillId="21" borderId="210" xfId="0" applyFont="1" applyFill="1" applyBorder="1" applyAlignment="1" applyProtection="1">
      <alignment horizontal="center" vertical="center"/>
      <protection hidden="1"/>
    </xf>
    <xf numFmtId="0" fontId="30" fillId="20" borderId="210" xfId="0" applyFont="1" applyFill="1" applyBorder="1" applyAlignment="1" applyProtection="1">
      <alignment horizontal="center" vertical="center"/>
      <protection hidden="1"/>
    </xf>
    <xf numFmtId="0" fontId="69" fillId="2" borderId="5" xfId="0" applyFont="1" applyFill="1" applyBorder="1" applyAlignment="1" applyProtection="1">
      <alignment vertical="center"/>
      <protection hidden="1"/>
    </xf>
    <xf numFmtId="0" fontId="0" fillId="9" borderId="77" xfId="0" applyFill="1" applyBorder="1" applyAlignment="1" applyProtection="1">
      <alignment vertical="center"/>
      <protection hidden="1"/>
    </xf>
    <xf numFmtId="0" fontId="15" fillId="9" borderId="0" xfId="0" applyFont="1" applyFill="1" applyAlignment="1" applyProtection="1">
      <alignment horizontal="left" vertical="center"/>
      <protection hidden="1"/>
    </xf>
    <xf numFmtId="0" fontId="15" fillId="3" borderId="0" xfId="0" applyFont="1" applyFill="1" applyAlignment="1" applyProtection="1">
      <alignment horizontal="left" vertical="center"/>
      <protection hidden="1"/>
    </xf>
    <xf numFmtId="0" fontId="15" fillId="3" borderId="5" xfId="0" applyFont="1" applyFill="1" applyBorder="1" applyAlignment="1" applyProtection="1">
      <alignment vertical="center"/>
      <protection hidden="1"/>
    </xf>
    <xf numFmtId="0" fontId="8" fillId="3" borderId="0" xfId="0" applyFont="1" applyFill="1" applyAlignment="1" applyProtection="1">
      <alignment horizontal="left" vertical="center"/>
      <protection hidden="1"/>
    </xf>
    <xf numFmtId="0" fontId="0" fillId="8" borderId="86" xfId="0" applyFill="1" applyBorder="1" applyAlignment="1">
      <alignment vertical="center"/>
    </xf>
    <xf numFmtId="0" fontId="0" fillId="0" borderId="164" xfId="0" applyBorder="1" applyAlignment="1">
      <alignment vertical="center"/>
    </xf>
    <xf numFmtId="0" fontId="12" fillId="8" borderId="85" xfId="0" applyFont="1" applyFill="1" applyBorder="1" applyAlignment="1">
      <alignment horizontal="center" vertical="center"/>
    </xf>
    <xf numFmtId="0" fontId="0" fillId="8" borderId="242" xfId="0" applyFill="1" applyBorder="1" applyAlignment="1">
      <alignment vertical="center"/>
    </xf>
    <xf numFmtId="0" fontId="0" fillId="0" borderId="171" xfId="0" applyBorder="1" applyAlignment="1">
      <alignment vertical="center"/>
    </xf>
    <xf numFmtId="0" fontId="12" fillId="8" borderId="243" xfId="0" applyFont="1" applyFill="1" applyBorder="1" applyAlignment="1">
      <alignment horizontal="center" vertical="center"/>
    </xf>
    <xf numFmtId="0" fontId="0" fillId="4" borderId="244" xfId="0" applyFill="1" applyBorder="1" applyAlignment="1" applyProtection="1">
      <alignment vertical="center"/>
      <protection hidden="1"/>
    </xf>
    <xf numFmtId="0" fontId="16" fillId="4" borderId="194" xfId="0" applyFont="1" applyFill="1" applyBorder="1" applyAlignment="1" applyProtection="1">
      <alignment vertical="center"/>
      <protection hidden="1"/>
    </xf>
    <xf numFmtId="0" fontId="0" fillId="4" borderId="194" xfId="0" applyFill="1" applyBorder="1" applyAlignment="1" applyProtection="1">
      <alignment vertical="center"/>
      <protection hidden="1"/>
    </xf>
    <xf numFmtId="0" fontId="0" fillId="4" borderId="245" xfId="0" applyFill="1" applyBorder="1" applyAlignment="1" applyProtection="1">
      <alignment vertical="center"/>
      <protection hidden="1"/>
    </xf>
    <xf numFmtId="0" fontId="2" fillId="10" borderId="78" xfId="0" applyFont="1" applyFill="1" applyBorder="1" applyAlignment="1" applyProtection="1">
      <alignment vertical="center"/>
      <protection hidden="1"/>
    </xf>
    <xf numFmtId="0" fontId="2" fillId="10" borderId="0" xfId="3" applyFont="1" applyFill="1" applyBorder="1" applyProtection="1">
      <alignment horizontal="left" vertical="center" indent="1"/>
      <protection hidden="1"/>
    </xf>
    <xf numFmtId="0" fontId="2" fillId="10" borderId="5" xfId="0" applyFont="1" applyFill="1" applyBorder="1" applyAlignment="1" applyProtection="1">
      <alignment vertical="center"/>
      <protection hidden="1"/>
    </xf>
    <xf numFmtId="0" fontId="0" fillId="3" borderId="265" xfId="0" applyFill="1" applyBorder="1" applyAlignment="1" applyProtection="1">
      <alignment vertical="center"/>
      <protection hidden="1"/>
    </xf>
    <xf numFmtId="0" fontId="15" fillId="22" borderId="0" xfId="0" applyFont="1" applyFill="1" applyAlignment="1" applyProtection="1">
      <alignment vertical="center"/>
      <protection hidden="1"/>
    </xf>
    <xf numFmtId="0" fontId="15" fillId="22" borderId="274" xfId="0" applyFont="1" applyFill="1" applyBorder="1" applyAlignment="1" applyProtection="1">
      <alignment vertical="center"/>
      <protection hidden="1"/>
    </xf>
    <xf numFmtId="0" fontId="0" fillId="3" borderId="275" xfId="0" applyFill="1" applyBorder="1" applyAlignment="1" applyProtection="1">
      <alignment vertical="center"/>
      <protection hidden="1"/>
    </xf>
    <xf numFmtId="0" fontId="0" fillId="3" borderId="264" xfId="0" applyFill="1" applyBorder="1" applyAlignment="1" applyProtection="1">
      <alignment vertical="center"/>
      <protection hidden="1"/>
    </xf>
    <xf numFmtId="0" fontId="0" fillId="3" borderId="256" xfId="0" applyFill="1" applyBorder="1" applyAlignment="1" applyProtection="1">
      <alignment vertical="center"/>
      <protection hidden="1"/>
    </xf>
    <xf numFmtId="0" fontId="72" fillId="10" borderId="0" xfId="0" applyFont="1" applyFill="1" applyAlignment="1" applyProtection="1">
      <alignment vertical="center"/>
      <protection hidden="1"/>
    </xf>
    <xf numFmtId="0" fontId="72" fillId="10" borderId="252" xfId="0" applyFont="1" applyFill="1" applyBorder="1" applyAlignment="1" applyProtection="1">
      <alignment vertical="center"/>
      <protection hidden="1"/>
    </xf>
    <xf numFmtId="0" fontId="72" fillId="10" borderId="77" xfId="0" applyFont="1" applyFill="1" applyBorder="1" applyAlignment="1" applyProtection="1">
      <alignment vertical="center"/>
      <protection hidden="1"/>
    </xf>
    <xf numFmtId="0" fontId="15" fillId="10" borderId="0" xfId="0" applyFont="1" applyFill="1" applyAlignment="1" applyProtection="1">
      <alignment horizontal="right" vertical="center"/>
      <protection hidden="1"/>
    </xf>
    <xf numFmtId="0" fontId="0" fillId="3" borderId="196" xfId="0" applyFill="1" applyBorder="1" applyAlignment="1" applyProtection="1">
      <alignment vertical="center"/>
      <protection hidden="1"/>
    </xf>
    <xf numFmtId="0" fontId="0" fillId="3" borderId="262" xfId="0" applyFill="1" applyBorder="1" applyAlignment="1" applyProtection="1">
      <alignment vertical="center"/>
      <protection hidden="1"/>
    </xf>
    <xf numFmtId="0" fontId="0" fillId="3" borderId="255" xfId="0" applyFill="1" applyBorder="1" applyAlignment="1" applyProtection="1">
      <alignment vertical="center"/>
      <protection hidden="1"/>
    </xf>
    <xf numFmtId="0" fontId="0" fillId="3" borderId="257" xfId="0" applyFill="1" applyBorder="1" applyAlignment="1" applyProtection="1">
      <alignment vertical="center"/>
      <protection hidden="1"/>
    </xf>
    <xf numFmtId="0" fontId="0" fillId="3" borderId="77" xfId="0" applyFill="1" applyBorder="1" applyAlignment="1" applyProtection="1">
      <alignment vertical="center"/>
      <protection hidden="1"/>
    </xf>
    <xf numFmtId="0" fontId="0" fillId="3" borderId="285" xfId="0" applyFill="1" applyBorder="1" applyAlignment="1" applyProtection="1">
      <alignment vertical="center"/>
      <protection hidden="1"/>
    </xf>
    <xf numFmtId="0" fontId="0" fillId="3" borderId="216" xfId="0" applyFill="1" applyBorder="1" applyAlignment="1" applyProtection="1">
      <alignment vertical="center"/>
      <protection hidden="1"/>
    </xf>
    <xf numFmtId="0" fontId="0" fillId="3" borderId="213" xfId="0" applyFill="1" applyBorder="1" applyAlignment="1" applyProtection="1">
      <alignment vertical="center"/>
      <protection hidden="1"/>
    </xf>
    <xf numFmtId="0" fontId="0" fillId="4" borderId="287" xfId="0" applyFill="1" applyBorder="1" applyAlignment="1" applyProtection="1">
      <alignment vertical="center"/>
      <protection hidden="1"/>
    </xf>
    <xf numFmtId="0" fontId="16" fillId="4" borderId="9" xfId="0" applyFont="1" applyFill="1" applyBorder="1" applyAlignment="1" applyProtection="1">
      <alignment vertical="center"/>
      <protection hidden="1"/>
    </xf>
    <xf numFmtId="0" fontId="0" fillId="4" borderId="9" xfId="0" applyFill="1" applyBorder="1" applyAlignment="1" applyProtection="1">
      <alignment vertical="center"/>
      <protection hidden="1"/>
    </xf>
    <xf numFmtId="0" fontId="0" fillId="4" borderId="288" xfId="0" applyFill="1" applyBorder="1" applyAlignment="1" applyProtection="1">
      <alignment vertical="center"/>
      <protection hidden="1"/>
    </xf>
    <xf numFmtId="0" fontId="40" fillId="3" borderId="142" xfId="0" applyFont="1" applyFill="1" applyBorder="1" applyAlignment="1">
      <alignment horizontal="center" vertical="center"/>
    </xf>
    <xf numFmtId="0" fontId="15" fillId="3" borderId="0" xfId="3" applyFont="1" applyFill="1" applyBorder="1" applyAlignment="1" applyProtection="1">
      <alignment vertical="center"/>
      <protection hidden="1"/>
    </xf>
    <xf numFmtId="0" fontId="0" fillId="3" borderId="291" xfId="0" applyFill="1" applyBorder="1" applyAlignment="1">
      <alignment horizontal="center" vertical="center"/>
    </xf>
    <xf numFmtId="0" fontId="45" fillId="3" borderId="142" xfId="0" applyFont="1" applyFill="1" applyBorder="1" applyAlignment="1">
      <alignment horizontal="center" vertical="center"/>
    </xf>
    <xf numFmtId="0" fontId="45" fillId="3" borderId="172" xfId="0" applyFont="1" applyFill="1" applyBorder="1" applyAlignment="1">
      <alignment horizontal="center" vertical="center"/>
    </xf>
    <xf numFmtId="166" fontId="79" fillId="22" borderId="274" xfId="4" applyNumberFormat="1" applyFont="1" applyFill="1" applyBorder="1" applyProtection="1">
      <alignment horizontal="right" vertical="center" indent="1"/>
      <protection hidden="1"/>
    </xf>
    <xf numFmtId="0" fontId="40" fillId="3" borderId="294" xfId="0" applyFont="1" applyFill="1" applyBorder="1" applyAlignment="1">
      <alignment horizontal="center" vertical="center"/>
    </xf>
    <xf numFmtId="0" fontId="45" fillId="3" borderId="166" xfId="0" applyFont="1" applyFill="1" applyBorder="1" applyAlignment="1">
      <alignment horizontal="center" vertical="center"/>
    </xf>
    <xf numFmtId="0" fontId="45" fillId="3" borderId="146" xfId="0" applyFont="1" applyFill="1" applyBorder="1" applyAlignment="1">
      <alignment horizontal="center" vertical="center"/>
    </xf>
    <xf numFmtId="0" fontId="0" fillId="3" borderId="254" xfId="0" applyFill="1" applyBorder="1" applyAlignment="1" applyProtection="1">
      <alignment horizontal="center" vertical="center"/>
      <protection hidden="1"/>
    </xf>
    <xf numFmtId="0" fontId="0" fillId="3" borderId="258" xfId="0" applyFill="1" applyBorder="1" applyAlignment="1" applyProtection="1">
      <alignment horizontal="center" vertical="center"/>
      <protection hidden="1"/>
    </xf>
    <xf numFmtId="0" fontId="0" fillId="3" borderId="259" xfId="0" applyFill="1" applyBorder="1" applyAlignment="1" applyProtection="1">
      <alignment horizontal="center" vertical="center"/>
      <protection hidden="1"/>
    </xf>
    <xf numFmtId="0" fontId="15" fillId="0" borderId="254" xfId="0" applyFont="1" applyBorder="1" applyAlignment="1" applyProtection="1">
      <alignment horizontal="center" vertical="center"/>
      <protection hidden="1"/>
    </xf>
    <xf numFmtId="0" fontId="15" fillId="0" borderId="258" xfId="0" applyFont="1" applyBorder="1" applyAlignment="1" applyProtection="1">
      <alignment horizontal="center" vertical="center"/>
      <protection hidden="1"/>
    </xf>
    <xf numFmtId="0" fontId="15" fillId="0" borderId="259" xfId="0" applyFont="1" applyBorder="1" applyAlignment="1" applyProtection="1">
      <alignment horizontal="center" vertical="center"/>
      <protection hidden="1"/>
    </xf>
    <xf numFmtId="0" fontId="15" fillId="0" borderId="268" xfId="0" applyFont="1" applyBorder="1" applyAlignment="1" applyProtection="1">
      <alignment horizontal="center" vertical="center"/>
      <protection hidden="1"/>
    </xf>
    <xf numFmtId="0" fontId="15" fillId="0" borderId="277" xfId="0" applyFont="1" applyBorder="1" applyAlignment="1" applyProtection="1">
      <alignment horizontal="center" vertical="center"/>
      <protection hidden="1"/>
    </xf>
    <xf numFmtId="3" fontId="15" fillId="3" borderId="75" xfId="4" applyNumberFormat="1" applyFont="1" applyFill="1" applyBorder="1" applyProtection="1">
      <alignment horizontal="right" vertical="center" indent="1"/>
      <protection hidden="1"/>
    </xf>
    <xf numFmtId="6" fontId="15" fillId="3" borderId="75" xfId="4" applyNumberFormat="1" applyFont="1" applyFill="1" applyBorder="1" applyProtection="1">
      <alignment horizontal="right" vertical="center" indent="1"/>
      <protection hidden="1"/>
    </xf>
    <xf numFmtId="6" fontId="15" fillId="3" borderId="272" xfId="4" applyNumberFormat="1" applyFont="1" applyFill="1" applyBorder="1" applyProtection="1">
      <alignment horizontal="right" vertical="center" indent="1"/>
      <protection hidden="1"/>
    </xf>
    <xf numFmtId="0" fontId="15" fillId="0" borderId="278" xfId="0" applyFont="1" applyBorder="1" applyAlignment="1" applyProtection="1">
      <alignment horizontal="center" vertical="center"/>
      <protection hidden="1"/>
    </xf>
    <xf numFmtId="0" fontId="15" fillId="0" borderId="195" xfId="0" applyFont="1" applyBorder="1" applyAlignment="1" applyProtection="1">
      <alignment horizontal="center" vertical="center"/>
      <protection hidden="1"/>
    </xf>
    <xf numFmtId="168" fontId="79" fillId="3" borderId="196" xfId="1" applyNumberFormat="1" applyFont="1" applyFill="1" applyBorder="1" applyAlignment="1" applyProtection="1">
      <alignment horizontal="right" vertical="center"/>
      <protection hidden="1"/>
    </xf>
    <xf numFmtId="168" fontId="79" fillId="3" borderId="196" xfId="4" applyNumberFormat="1" applyFont="1" applyFill="1" applyBorder="1" applyProtection="1">
      <alignment horizontal="right" vertical="center" indent="1"/>
      <protection hidden="1"/>
    </xf>
    <xf numFmtId="0" fontId="15" fillId="0" borderId="289" xfId="0" applyFont="1" applyBorder="1" applyAlignment="1" applyProtection="1">
      <alignment horizontal="center" vertical="center"/>
      <protection hidden="1"/>
    </xf>
    <xf numFmtId="0" fontId="15" fillId="3" borderId="264" xfId="0" applyFont="1" applyFill="1" applyBorder="1" applyAlignment="1" applyProtection="1">
      <alignment horizontal="right" vertical="center"/>
      <protection hidden="1"/>
    </xf>
    <xf numFmtId="0" fontId="15" fillId="3" borderId="265" xfId="0" applyFont="1" applyFill="1" applyBorder="1" applyAlignment="1" applyProtection="1">
      <alignment horizontal="right" vertical="center"/>
      <protection hidden="1"/>
    </xf>
    <xf numFmtId="0" fontId="0" fillId="3" borderId="248" xfId="3" applyFont="1" applyFill="1" applyBorder="1" applyProtection="1">
      <alignment horizontal="left" vertical="center" indent="1"/>
      <protection hidden="1"/>
    </xf>
    <xf numFmtId="0" fontId="0" fillId="3" borderId="248" xfId="0" applyFill="1" applyBorder="1" applyAlignment="1" applyProtection="1">
      <alignment vertical="center"/>
      <protection hidden="1"/>
    </xf>
    <xf numFmtId="3" fontId="15" fillId="0" borderId="255" xfId="0" applyNumberFormat="1" applyFont="1" applyBorder="1" applyAlignment="1" applyProtection="1">
      <alignment horizontal="right" vertical="center"/>
      <protection hidden="1"/>
    </xf>
    <xf numFmtId="3" fontId="15" fillId="0" borderId="257" xfId="0" applyNumberFormat="1" applyFont="1" applyBorder="1" applyAlignment="1" applyProtection="1">
      <alignment horizontal="right" vertical="center"/>
      <protection hidden="1"/>
    </xf>
    <xf numFmtId="0" fontId="12" fillId="0" borderId="0" xfId="0" applyFont="1" applyAlignment="1">
      <alignment horizontal="center" vertical="center"/>
    </xf>
    <xf numFmtId="0" fontId="0" fillId="3" borderId="171" xfId="0" applyFill="1" applyBorder="1" applyAlignment="1">
      <alignment vertical="center"/>
    </xf>
    <xf numFmtId="0" fontId="0" fillId="3" borderId="297" xfId="0" applyFill="1" applyBorder="1" applyAlignment="1">
      <alignment vertical="center"/>
    </xf>
    <xf numFmtId="0" fontId="0" fillId="3" borderId="53" xfId="0" applyFill="1" applyBorder="1" applyAlignment="1">
      <alignment vertical="center"/>
    </xf>
    <xf numFmtId="0" fontId="0" fillId="3" borderId="298" xfId="0" applyFill="1" applyBorder="1" applyAlignment="1">
      <alignment vertical="center"/>
    </xf>
    <xf numFmtId="0" fontId="0" fillId="8" borderId="48" xfId="0" applyFill="1" applyBorder="1" applyAlignment="1">
      <alignment vertical="center"/>
    </xf>
    <xf numFmtId="0" fontId="0" fillId="8" borderId="299" xfId="0" applyFill="1" applyBorder="1" applyAlignment="1">
      <alignment vertical="center"/>
    </xf>
    <xf numFmtId="0" fontId="84" fillId="3" borderId="18" xfId="0" applyFont="1" applyFill="1" applyBorder="1" applyAlignment="1" applyProtection="1">
      <alignment vertical="center"/>
      <protection hidden="1"/>
    </xf>
    <xf numFmtId="0" fontId="85" fillId="9" borderId="0" xfId="0" applyFont="1" applyFill="1" applyAlignment="1" applyProtection="1">
      <alignment vertical="center"/>
      <protection hidden="1"/>
    </xf>
    <xf numFmtId="0" fontId="0" fillId="3" borderId="0" xfId="3" applyFont="1" applyFill="1" applyBorder="1" applyAlignment="1" applyProtection="1">
      <alignment vertical="center"/>
      <protection hidden="1"/>
    </xf>
    <xf numFmtId="0" fontId="0" fillId="3" borderId="310" xfId="0" applyFill="1" applyBorder="1" applyAlignment="1" applyProtection="1">
      <alignment vertical="center"/>
      <protection hidden="1"/>
    </xf>
    <xf numFmtId="0" fontId="0" fillId="3" borderId="325" xfId="0" applyFill="1" applyBorder="1" applyAlignment="1" applyProtection="1">
      <alignment vertical="center"/>
      <protection hidden="1"/>
    </xf>
    <xf numFmtId="0" fontId="0" fillId="3" borderId="331" xfId="0" applyFill="1" applyBorder="1" applyAlignment="1" applyProtection="1">
      <alignment vertical="center"/>
      <protection hidden="1"/>
    </xf>
    <xf numFmtId="0" fontId="87" fillId="3" borderId="0" xfId="3" applyFont="1" applyFill="1" applyBorder="1" applyAlignment="1" applyProtection="1">
      <alignment horizontal="left" vertical="top" indent="1"/>
      <protection hidden="1"/>
    </xf>
    <xf numFmtId="0" fontId="89" fillId="3" borderId="0" xfId="3" applyFont="1" applyFill="1" applyBorder="1" applyAlignment="1" applyProtection="1">
      <alignment horizontal="left" vertical="top" indent="1"/>
      <protection hidden="1"/>
    </xf>
    <xf numFmtId="0" fontId="20" fillId="3" borderId="181" xfId="0" applyFont="1" applyFill="1" applyBorder="1" applyAlignment="1">
      <alignment horizontal="center" vertical="center" shrinkToFit="1"/>
    </xf>
    <xf numFmtId="0" fontId="0" fillId="0" borderId="48" xfId="0" applyBorder="1" applyAlignment="1">
      <alignment vertical="center"/>
    </xf>
    <xf numFmtId="0" fontId="91" fillId="3" borderId="0" xfId="0" applyFont="1" applyFill="1" applyAlignment="1" applyProtection="1">
      <alignment vertical="center"/>
      <protection hidden="1"/>
    </xf>
    <xf numFmtId="0" fontId="92" fillId="3" borderId="0" xfId="0" applyFont="1" applyFill="1" applyAlignment="1" applyProtection="1">
      <alignment vertical="center"/>
      <protection hidden="1"/>
    </xf>
    <xf numFmtId="0" fontId="93" fillId="3" borderId="0" xfId="0" applyFont="1" applyFill="1" applyAlignment="1" applyProtection="1">
      <alignment vertical="center"/>
      <protection hidden="1"/>
    </xf>
    <xf numFmtId="0" fontId="91" fillId="3" borderId="0" xfId="0" applyFont="1" applyFill="1" applyAlignment="1" applyProtection="1">
      <alignment horizontal="center" vertical="center"/>
      <protection hidden="1"/>
    </xf>
    <xf numFmtId="0" fontId="4" fillId="3" borderId="310" xfId="0" applyFont="1" applyFill="1" applyBorder="1" applyAlignment="1" applyProtection="1">
      <alignment vertical="center"/>
      <protection hidden="1"/>
    </xf>
    <xf numFmtId="0" fontId="0" fillId="3" borderId="343" xfId="0" applyFill="1" applyBorder="1" applyAlignment="1" applyProtection="1">
      <alignment vertical="center"/>
      <protection hidden="1"/>
    </xf>
    <xf numFmtId="0" fontId="0" fillId="16" borderId="0" xfId="0" applyFill="1" applyAlignment="1" applyProtection="1">
      <alignment vertical="center"/>
      <protection hidden="1"/>
    </xf>
    <xf numFmtId="0" fontId="0" fillId="0" borderId="0" xfId="0" applyAlignment="1" applyProtection="1">
      <alignment vertical="center"/>
      <protection hidden="1"/>
    </xf>
    <xf numFmtId="0" fontId="44" fillId="16" borderId="0" xfId="0" applyFont="1" applyFill="1" applyAlignment="1" applyProtection="1">
      <alignment horizontal="left" vertical="top" indent="1"/>
      <protection hidden="1"/>
    </xf>
    <xf numFmtId="0" fontId="11" fillId="16" borderId="0" xfId="0" applyFont="1" applyFill="1" applyAlignment="1" applyProtection="1">
      <alignment horizontal="right" vertical="center"/>
      <protection hidden="1"/>
    </xf>
    <xf numFmtId="0" fontId="38" fillId="9" borderId="0" xfId="0" applyFont="1" applyFill="1" applyAlignment="1" applyProtection="1">
      <alignment vertical="center" wrapText="1"/>
      <protection hidden="1"/>
    </xf>
    <xf numFmtId="0" fontId="38" fillId="9" borderId="7" xfId="0" applyFont="1" applyFill="1" applyBorder="1" applyAlignment="1" applyProtection="1">
      <alignment vertical="center" wrapText="1"/>
      <protection hidden="1"/>
    </xf>
    <xf numFmtId="0" fontId="47" fillId="9" borderId="73" xfId="0" applyFont="1" applyFill="1" applyBorder="1" applyAlignment="1" applyProtection="1">
      <alignment vertical="center"/>
      <protection hidden="1"/>
    </xf>
    <xf numFmtId="0" fontId="38" fillId="9" borderId="73" xfId="0" applyFont="1" applyFill="1" applyBorder="1" applyAlignment="1" applyProtection="1">
      <alignment vertical="center"/>
      <protection hidden="1"/>
    </xf>
    <xf numFmtId="0" fontId="37" fillId="9" borderId="73" xfId="0" applyFont="1" applyFill="1" applyBorder="1" applyAlignment="1" applyProtection="1">
      <alignment vertical="center"/>
      <protection hidden="1"/>
    </xf>
    <xf numFmtId="0" fontId="15" fillId="9" borderId="214" xfId="0" applyFont="1" applyFill="1" applyBorder="1" applyAlignment="1" applyProtection="1">
      <alignment vertical="center"/>
      <protection hidden="1"/>
    </xf>
    <xf numFmtId="0" fontId="15" fillId="9" borderId="77" xfId="0" applyFont="1" applyFill="1" applyBorder="1" applyAlignment="1" applyProtection="1">
      <alignment vertical="center"/>
      <protection hidden="1"/>
    </xf>
    <xf numFmtId="0" fontId="15" fillId="9" borderId="81" xfId="0" applyFont="1" applyFill="1" applyBorder="1" applyAlignment="1" applyProtection="1">
      <alignment vertical="center"/>
      <protection hidden="1"/>
    </xf>
    <xf numFmtId="0" fontId="38" fillId="9" borderId="5" xfId="0" applyFont="1" applyFill="1" applyBorder="1" applyAlignment="1" applyProtection="1">
      <alignment vertical="center" wrapText="1"/>
      <protection hidden="1"/>
    </xf>
    <xf numFmtId="0" fontId="38" fillId="9" borderId="8" xfId="0" applyFont="1" applyFill="1" applyBorder="1" applyAlignment="1" applyProtection="1">
      <alignment vertical="center" wrapText="1"/>
      <protection hidden="1"/>
    </xf>
    <xf numFmtId="0" fontId="0" fillId="9" borderId="0" xfId="0" applyFill="1" applyAlignment="1" applyProtection="1">
      <alignment horizontal="left" vertical="center"/>
      <protection hidden="1"/>
    </xf>
    <xf numFmtId="0" fontId="81" fillId="9" borderId="0" xfId="0" applyFont="1" applyFill="1" applyAlignment="1" applyProtection="1">
      <alignment horizontal="left" vertical="top" indent="1"/>
      <protection hidden="1"/>
    </xf>
    <xf numFmtId="0" fontId="94" fillId="9" borderId="0" xfId="0" applyFont="1" applyFill="1" applyAlignment="1" applyProtection="1">
      <alignment horizontal="left" indent="1"/>
      <protection hidden="1"/>
    </xf>
    <xf numFmtId="0" fontId="94" fillId="9" borderId="0" xfId="0" applyFont="1" applyFill="1" applyAlignment="1" applyProtection="1">
      <alignment horizontal="left" vertical="center" indent="1"/>
      <protection hidden="1"/>
    </xf>
    <xf numFmtId="0" fontId="0" fillId="16" borderId="0" xfId="0" applyFill="1" applyProtection="1">
      <protection hidden="1"/>
    </xf>
    <xf numFmtId="0" fontId="2" fillId="3" borderId="0" xfId="0" applyFont="1" applyFill="1" applyAlignment="1" applyProtection="1">
      <alignment horizontal="center" vertical="center"/>
      <protection hidden="1"/>
    </xf>
    <xf numFmtId="0" fontId="15" fillId="10" borderId="4" xfId="0" applyFont="1" applyFill="1" applyBorder="1" applyAlignment="1" applyProtection="1">
      <alignment horizontal="center" vertical="center"/>
      <protection hidden="1"/>
    </xf>
    <xf numFmtId="0" fontId="15" fillId="10" borderId="0" xfId="0" applyFont="1" applyFill="1" applyAlignment="1" applyProtection="1">
      <alignment horizontal="center" vertical="center"/>
      <protection hidden="1"/>
    </xf>
    <xf numFmtId="0" fontId="15" fillId="10" borderId="5" xfId="0" applyFont="1" applyFill="1" applyBorder="1" applyAlignment="1" applyProtection="1">
      <alignment horizontal="center" vertical="center"/>
      <protection hidden="1"/>
    </xf>
    <xf numFmtId="0" fontId="15" fillId="3" borderId="4" xfId="0" applyFont="1" applyFill="1" applyBorder="1" applyAlignment="1" applyProtection="1">
      <alignment horizontal="center" vertical="center"/>
      <protection hidden="1"/>
    </xf>
    <xf numFmtId="0" fontId="15" fillId="3" borderId="0" xfId="0" applyFont="1" applyFill="1" applyAlignment="1" applyProtection="1">
      <alignment horizontal="center" vertical="center"/>
      <protection hidden="1"/>
    </xf>
    <xf numFmtId="0" fontId="15" fillId="3" borderId="5" xfId="0" applyFont="1" applyFill="1" applyBorder="1" applyAlignment="1" applyProtection="1">
      <alignment horizontal="center" vertical="center"/>
      <protection hidden="1"/>
    </xf>
    <xf numFmtId="0" fontId="96" fillId="10" borderId="0" xfId="0" applyFont="1" applyFill="1" applyAlignment="1" applyProtection="1">
      <alignment horizontal="center" vertical="center"/>
      <protection hidden="1"/>
    </xf>
    <xf numFmtId="0" fontId="15" fillId="3" borderId="20" xfId="0" applyFont="1" applyFill="1" applyBorder="1" applyAlignment="1" applyProtection="1">
      <alignment horizontal="center" vertical="center"/>
      <protection hidden="1"/>
    </xf>
    <xf numFmtId="0" fontId="15" fillId="3" borderId="18" xfId="0" applyFont="1" applyFill="1" applyBorder="1" applyAlignment="1" applyProtection="1">
      <alignment horizontal="center" vertical="center"/>
      <protection hidden="1"/>
    </xf>
    <xf numFmtId="0" fontId="15" fillId="3" borderId="19" xfId="0" applyFont="1" applyFill="1" applyBorder="1" applyAlignment="1" applyProtection="1">
      <alignment horizontal="center" vertical="center"/>
      <protection hidden="1"/>
    </xf>
    <xf numFmtId="0" fontId="97" fillId="10" borderId="0" xfId="0" applyFont="1" applyFill="1" applyAlignment="1" applyProtection="1">
      <alignment horizontal="center" vertical="center"/>
      <protection hidden="1"/>
    </xf>
    <xf numFmtId="0" fontId="98" fillId="10" borderId="0" xfId="0" applyFont="1" applyFill="1" applyAlignment="1" applyProtection="1">
      <alignment vertical="center"/>
      <protection hidden="1"/>
    </xf>
    <xf numFmtId="0" fontId="15" fillId="3" borderId="0" xfId="3" applyFont="1" applyFill="1" applyBorder="1" applyProtection="1">
      <alignment horizontal="left" vertical="center" indent="1"/>
      <protection hidden="1"/>
    </xf>
    <xf numFmtId="0" fontId="2" fillId="10" borderId="0" xfId="3" applyFont="1" applyFill="1" applyBorder="1" applyAlignment="1" applyProtection="1">
      <alignment horizontal="center" vertical="center"/>
      <protection hidden="1"/>
    </xf>
    <xf numFmtId="0" fontId="15" fillId="3" borderId="6" xfId="0" applyFont="1" applyFill="1" applyBorder="1" applyAlignment="1" applyProtection="1">
      <alignment horizontal="center" vertical="center"/>
      <protection hidden="1"/>
    </xf>
    <xf numFmtId="0" fontId="0" fillId="3" borderId="7" xfId="0" applyFill="1" applyBorder="1" applyAlignment="1" applyProtection="1">
      <alignment horizontal="center" vertical="center"/>
      <protection hidden="1"/>
    </xf>
    <xf numFmtId="0" fontId="15" fillId="3" borderId="7" xfId="0" applyFont="1" applyFill="1" applyBorder="1" applyAlignment="1" applyProtection="1">
      <alignment horizontal="center" vertical="center"/>
      <protection hidden="1"/>
    </xf>
    <xf numFmtId="0" fontId="15" fillId="3" borderId="8" xfId="0" applyFont="1" applyFill="1" applyBorder="1" applyAlignment="1" applyProtection="1">
      <alignment horizontal="center" vertical="center"/>
      <protection hidden="1"/>
    </xf>
    <xf numFmtId="0" fontId="0" fillId="3" borderId="264" xfId="4" applyFont="1" applyFill="1" applyBorder="1" applyProtection="1">
      <alignment horizontal="right" vertical="center" indent="1"/>
      <protection hidden="1"/>
    </xf>
    <xf numFmtId="0" fontId="15" fillId="3" borderId="18" xfId="3" applyFont="1" applyFill="1" applyBorder="1" applyProtection="1">
      <alignment horizontal="left" vertical="center" indent="1"/>
      <protection hidden="1"/>
    </xf>
    <xf numFmtId="0" fontId="15" fillId="10" borderId="0" xfId="3" applyFont="1" applyFill="1" applyBorder="1" applyProtection="1">
      <alignment horizontal="left" vertical="center" indent="1"/>
      <protection hidden="1"/>
    </xf>
    <xf numFmtId="0" fontId="97" fillId="10" borderId="0" xfId="3" applyFont="1" applyFill="1" applyBorder="1" applyProtection="1">
      <alignment horizontal="left" vertical="center" indent="1"/>
      <protection hidden="1"/>
    </xf>
    <xf numFmtId="0" fontId="15" fillId="3" borderId="247" xfId="0" applyFont="1" applyFill="1" applyBorder="1" applyAlignment="1" applyProtection="1">
      <alignment horizontal="center" vertical="center"/>
      <protection hidden="1"/>
    </xf>
    <xf numFmtId="0" fontId="15" fillId="3" borderId="254" xfId="3" applyFont="1" applyFill="1" applyBorder="1" applyAlignment="1" applyProtection="1">
      <alignment horizontal="center" vertical="center"/>
      <protection hidden="1"/>
    </xf>
    <xf numFmtId="0" fontId="15" fillId="3" borderId="248" xfId="0" applyFont="1" applyFill="1" applyBorder="1" applyAlignment="1" applyProtection="1">
      <alignment horizontal="center" vertical="center"/>
      <protection hidden="1"/>
    </xf>
    <xf numFmtId="9" fontId="15" fillId="3" borderId="248" xfId="0" applyNumberFormat="1" applyFont="1" applyFill="1" applyBorder="1" applyAlignment="1">
      <alignment horizontal="center" vertical="center"/>
    </xf>
    <xf numFmtId="3" fontId="15" fillId="3" borderId="248" xfId="0" applyNumberFormat="1" applyFont="1" applyFill="1" applyBorder="1" applyAlignment="1">
      <alignment horizontal="center" vertical="center"/>
    </xf>
    <xf numFmtId="0" fontId="15" fillId="3" borderId="258" xfId="3" applyFont="1" applyFill="1" applyBorder="1" applyAlignment="1" applyProtection="1">
      <alignment horizontal="center" vertical="center"/>
      <protection hidden="1"/>
    </xf>
    <xf numFmtId="0" fontId="15" fillId="3" borderId="259" xfId="3" applyFont="1" applyFill="1" applyBorder="1" applyAlignment="1" applyProtection="1">
      <alignment horizontal="center" vertical="center"/>
      <protection hidden="1"/>
    </xf>
    <xf numFmtId="0" fontId="15" fillId="3" borderId="260" xfId="0" applyFont="1" applyFill="1" applyBorder="1" applyAlignment="1" applyProtection="1">
      <alignment horizontal="center" vertical="center"/>
      <protection hidden="1"/>
    </xf>
    <xf numFmtId="18" fontId="15" fillId="3" borderId="258" xfId="3" applyNumberFormat="1" applyFont="1" applyFill="1" applyBorder="1" applyAlignment="1" applyProtection="1">
      <alignment horizontal="center" vertical="center"/>
      <protection hidden="1"/>
    </xf>
    <xf numFmtId="0" fontId="15" fillId="3" borderId="271" xfId="0" applyFont="1" applyFill="1" applyBorder="1" applyAlignment="1" applyProtection="1">
      <alignment horizontal="center" vertical="center"/>
      <protection hidden="1"/>
    </xf>
    <xf numFmtId="0" fontId="15" fillId="3" borderId="279" xfId="0" applyFont="1" applyFill="1" applyBorder="1" applyAlignment="1" applyProtection="1">
      <alignment horizontal="center" vertical="center"/>
      <protection hidden="1"/>
    </xf>
    <xf numFmtId="0" fontId="15" fillId="3" borderId="273" xfId="0" applyFont="1" applyFill="1" applyBorder="1" applyAlignment="1" applyProtection="1">
      <alignment horizontal="center" vertical="center"/>
      <protection hidden="1"/>
    </xf>
    <xf numFmtId="0" fontId="15" fillId="3" borderId="75" xfId="0" applyFont="1" applyFill="1" applyBorder="1" applyAlignment="1" applyProtection="1">
      <alignment horizontal="center" vertical="center"/>
      <protection hidden="1"/>
    </xf>
    <xf numFmtId="0" fontId="98" fillId="10" borderId="0" xfId="4" applyFont="1" applyFill="1" applyBorder="1" applyProtection="1">
      <alignment horizontal="right" vertical="center" indent="1"/>
      <protection hidden="1"/>
    </xf>
    <xf numFmtId="0" fontId="97" fillId="10" borderId="0" xfId="4" applyFont="1" applyFill="1" applyBorder="1" applyProtection="1">
      <alignment horizontal="right" vertical="center" indent="1"/>
      <protection hidden="1"/>
    </xf>
    <xf numFmtId="0" fontId="15" fillId="3" borderId="0" xfId="4" applyFont="1" applyFill="1" applyBorder="1" applyProtection="1">
      <alignment horizontal="right" vertical="center" indent="1"/>
      <protection hidden="1"/>
    </xf>
    <xf numFmtId="0" fontId="15" fillId="3" borderId="18" xfId="4" applyFont="1" applyFill="1" applyBorder="1" applyProtection="1">
      <alignment horizontal="right" vertical="center" indent="1"/>
      <protection hidden="1"/>
    </xf>
    <xf numFmtId="0" fontId="15" fillId="3" borderId="256" xfId="0" applyFont="1" applyFill="1" applyBorder="1" applyAlignment="1" applyProtection="1">
      <alignment horizontal="center" vertical="center"/>
      <protection hidden="1"/>
    </xf>
    <xf numFmtId="9" fontId="15" fillId="3" borderId="255" xfId="0" applyNumberFormat="1" applyFont="1" applyFill="1" applyBorder="1" applyAlignment="1">
      <alignment horizontal="center" vertical="center"/>
    </xf>
    <xf numFmtId="0" fontId="15" fillId="3" borderId="275" xfId="0" applyFont="1" applyFill="1" applyBorder="1" applyAlignment="1" applyProtection="1">
      <alignment horizontal="center" vertical="center"/>
      <protection hidden="1"/>
    </xf>
    <xf numFmtId="0" fontId="13" fillId="3" borderId="256" xfId="4" applyFont="1" applyFill="1" applyBorder="1" applyProtection="1">
      <alignment horizontal="right" vertical="center" indent="1"/>
      <protection hidden="1"/>
    </xf>
    <xf numFmtId="3" fontId="15" fillId="3" borderId="275" xfId="0" applyNumberFormat="1" applyFont="1" applyFill="1" applyBorder="1" applyAlignment="1">
      <alignment horizontal="center" vertical="center"/>
    </xf>
    <xf numFmtId="0" fontId="15" fillId="3" borderId="249" xfId="0" applyFont="1" applyFill="1" applyBorder="1" applyAlignment="1" applyProtection="1">
      <alignment horizontal="center" vertical="center"/>
      <protection hidden="1"/>
    </xf>
    <xf numFmtId="0" fontId="15" fillId="3" borderId="265" xfId="0" applyFont="1" applyFill="1" applyBorder="1" applyAlignment="1" applyProtection="1">
      <alignment horizontal="center" vertical="center"/>
      <protection hidden="1"/>
    </xf>
    <xf numFmtId="0" fontId="15" fillId="3" borderId="246" xfId="0" applyFont="1" applyFill="1" applyBorder="1" applyAlignment="1" applyProtection="1">
      <alignment horizontal="center" vertical="center"/>
      <protection hidden="1"/>
    </xf>
    <xf numFmtId="0" fontId="13" fillId="3" borderId="265" xfId="4" applyFont="1" applyFill="1" applyBorder="1" applyProtection="1">
      <alignment horizontal="right" vertical="center" indent="1"/>
      <protection hidden="1"/>
    </xf>
    <xf numFmtId="0" fontId="15" fillId="3" borderId="262" xfId="0" applyFont="1" applyFill="1" applyBorder="1" applyAlignment="1" applyProtection="1">
      <alignment horizontal="center" vertical="center"/>
      <protection hidden="1"/>
    </xf>
    <xf numFmtId="0" fontId="15" fillId="3" borderId="261" xfId="0" applyFont="1" applyFill="1" applyBorder="1" applyAlignment="1" applyProtection="1">
      <alignment horizontal="center" vertical="center"/>
      <protection hidden="1"/>
    </xf>
    <xf numFmtId="0" fontId="15" fillId="3" borderId="264" xfId="0" applyFont="1" applyFill="1" applyBorder="1" applyAlignment="1" applyProtection="1">
      <alignment horizontal="center" vertical="center"/>
      <protection hidden="1"/>
    </xf>
    <xf numFmtId="0" fontId="15" fillId="3" borderId="265" xfId="4" applyFont="1" applyFill="1" applyBorder="1" applyProtection="1">
      <alignment horizontal="right" vertical="center" indent="1"/>
      <protection hidden="1"/>
    </xf>
    <xf numFmtId="0" fontId="15" fillId="3" borderId="278" xfId="3" applyFont="1" applyFill="1" applyBorder="1" applyAlignment="1" applyProtection="1">
      <alignment horizontal="center" vertical="center"/>
      <protection hidden="1"/>
    </xf>
    <xf numFmtId="0" fontId="13" fillId="3" borderId="137" xfId="4" applyFont="1" applyFill="1" applyBorder="1" applyProtection="1">
      <alignment horizontal="right" vertical="center" indent="1"/>
      <protection hidden="1"/>
    </xf>
    <xf numFmtId="0" fontId="99" fillId="10" borderId="0" xfId="0" applyFont="1" applyFill="1" applyAlignment="1" applyProtection="1">
      <alignment horizontal="center" vertical="center"/>
      <protection hidden="1"/>
    </xf>
    <xf numFmtId="0" fontId="0" fillId="3" borderId="203" xfId="0" applyFill="1" applyBorder="1" applyAlignment="1">
      <alignment horizontal="center" vertical="center"/>
    </xf>
    <xf numFmtId="0" fontId="13" fillId="3" borderId="255" xfId="0" applyFont="1" applyFill="1" applyBorder="1" applyAlignment="1" applyProtection="1">
      <alignment vertical="center"/>
      <protection hidden="1"/>
    </xf>
    <xf numFmtId="0" fontId="13" fillId="3" borderId="275" xfId="0" applyFont="1" applyFill="1" applyBorder="1" applyAlignment="1" applyProtection="1">
      <alignment vertical="center"/>
      <protection hidden="1"/>
    </xf>
    <xf numFmtId="0" fontId="13" fillId="3" borderId="256" xfId="0" applyFont="1" applyFill="1" applyBorder="1" applyAlignment="1" applyProtection="1">
      <alignment vertical="center"/>
      <protection hidden="1"/>
    </xf>
    <xf numFmtId="0" fontId="15" fillId="3" borderId="264" xfId="4" applyFont="1" applyFill="1" applyBorder="1" applyProtection="1">
      <alignment horizontal="right" vertical="center" indent="1"/>
      <protection hidden="1"/>
    </xf>
    <xf numFmtId="0" fontId="15" fillId="3" borderId="360" xfId="0" applyFont="1" applyFill="1" applyBorder="1" applyAlignment="1" applyProtection="1">
      <alignment horizontal="center" vertical="center"/>
      <protection hidden="1"/>
    </xf>
    <xf numFmtId="0" fontId="15" fillId="3" borderId="364" xfId="0" applyFont="1" applyFill="1" applyBorder="1" applyAlignment="1" applyProtection="1">
      <alignment horizontal="center" vertical="center"/>
      <protection hidden="1"/>
    </xf>
    <xf numFmtId="0" fontId="15" fillId="3" borderId="137" xfId="3" applyFont="1" applyFill="1" applyBorder="1" applyAlignment="1" applyProtection="1">
      <alignment vertical="center"/>
      <protection hidden="1"/>
    </xf>
    <xf numFmtId="0" fontId="15" fillId="3" borderId="273" xfId="3" applyFont="1" applyFill="1" applyBorder="1" applyAlignment="1" applyProtection="1">
      <alignment vertical="center"/>
      <protection hidden="1"/>
    </xf>
    <xf numFmtId="0" fontId="15" fillId="3" borderId="75" xfId="3" applyFont="1" applyFill="1" applyBorder="1" applyAlignment="1" applyProtection="1">
      <alignment vertical="center"/>
      <protection hidden="1"/>
    </xf>
    <xf numFmtId="3" fontId="15" fillId="3" borderId="75" xfId="0" applyNumberFormat="1" applyFont="1" applyFill="1" applyBorder="1" applyAlignment="1">
      <alignment horizontal="center" vertical="center"/>
    </xf>
    <xf numFmtId="0" fontId="0" fillId="3" borderId="293" xfId="0" applyFill="1" applyBorder="1" applyAlignment="1" applyProtection="1">
      <alignment vertical="center"/>
      <protection hidden="1"/>
    </xf>
    <xf numFmtId="0" fontId="15" fillId="3" borderId="137" xfId="0" applyFont="1" applyFill="1" applyBorder="1" applyAlignment="1" applyProtection="1">
      <alignment horizontal="center" vertical="center"/>
      <protection hidden="1"/>
    </xf>
    <xf numFmtId="3" fontId="15" fillId="3" borderId="137" xfId="0" applyNumberFormat="1" applyFont="1" applyFill="1" applyBorder="1" applyAlignment="1">
      <alignment horizontal="center" vertical="center"/>
    </xf>
    <xf numFmtId="0" fontId="13" fillId="3" borderId="137" xfId="0" applyFont="1" applyFill="1" applyBorder="1" applyAlignment="1" applyProtection="1">
      <alignment vertical="center"/>
      <protection hidden="1"/>
    </xf>
    <xf numFmtId="0" fontId="15" fillId="3" borderId="75" xfId="4" applyFont="1" applyFill="1" applyBorder="1" applyProtection="1">
      <alignment horizontal="right" vertical="center" indent="1"/>
      <protection hidden="1"/>
    </xf>
    <xf numFmtId="0" fontId="0" fillId="3" borderId="284" xfId="0" applyFill="1" applyBorder="1" applyAlignment="1" applyProtection="1">
      <alignment vertical="center"/>
      <protection hidden="1"/>
    </xf>
    <xf numFmtId="0" fontId="15" fillId="3" borderId="77" xfId="3" applyFont="1" applyFill="1" applyBorder="1" applyAlignment="1" applyProtection="1">
      <alignment vertical="center"/>
      <protection hidden="1"/>
    </xf>
    <xf numFmtId="0" fontId="15" fillId="3" borderId="262" xfId="3" applyFont="1" applyFill="1" applyBorder="1" applyAlignment="1" applyProtection="1">
      <alignment vertical="center"/>
      <protection hidden="1"/>
    </xf>
    <xf numFmtId="3" fontId="15" fillId="3" borderId="264" xfId="0" applyNumberFormat="1" applyFont="1" applyFill="1" applyBorder="1" applyAlignment="1">
      <alignment horizontal="center" vertical="center"/>
    </xf>
    <xf numFmtId="0" fontId="13" fillId="3" borderId="264" xfId="0" applyFont="1" applyFill="1" applyBorder="1" applyAlignment="1" applyProtection="1">
      <alignment vertical="center"/>
      <protection hidden="1"/>
    </xf>
    <xf numFmtId="0" fontId="0" fillId="3" borderId="261" xfId="0" applyFill="1" applyBorder="1" applyAlignment="1" applyProtection="1">
      <alignment vertical="center"/>
      <protection hidden="1"/>
    </xf>
    <xf numFmtId="0" fontId="13" fillId="3" borderId="75" xfId="0" applyFont="1" applyFill="1" applyBorder="1" applyAlignment="1" applyProtection="1">
      <alignment vertical="center"/>
      <protection hidden="1"/>
    </xf>
    <xf numFmtId="0" fontId="13" fillId="3" borderId="75" xfId="4" applyFont="1" applyFill="1" applyBorder="1" applyProtection="1">
      <alignment horizontal="right" vertical="center" indent="1"/>
      <protection hidden="1"/>
    </xf>
    <xf numFmtId="0" fontId="0" fillId="3" borderId="275" xfId="4" applyFont="1" applyFill="1" applyBorder="1" applyProtection="1">
      <alignment horizontal="right" vertical="center" indent="1"/>
      <protection hidden="1"/>
    </xf>
    <xf numFmtId="0" fontId="15" fillId="3" borderId="137" xfId="4" applyFont="1" applyFill="1" applyBorder="1" applyProtection="1">
      <alignment horizontal="right" vertical="center" indent="1"/>
      <protection hidden="1"/>
    </xf>
    <xf numFmtId="0" fontId="0" fillId="3" borderId="265" xfId="4" applyFont="1" applyFill="1" applyBorder="1" applyProtection="1">
      <alignment horizontal="right" vertical="center" indent="1"/>
      <protection hidden="1"/>
    </xf>
    <xf numFmtId="0" fontId="0" fillId="0" borderId="210" xfId="0" applyBorder="1" applyAlignment="1">
      <alignment vertical="center"/>
    </xf>
    <xf numFmtId="0" fontId="15" fillId="3" borderId="264" xfId="3" applyFont="1" applyFill="1" applyBorder="1" applyAlignment="1" applyProtection="1">
      <alignment vertical="center"/>
      <protection hidden="1"/>
    </xf>
    <xf numFmtId="0" fontId="0" fillId="0" borderId="196" xfId="0" applyBorder="1" applyAlignment="1">
      <alignment vertical="center"/>
    </xf>
    <xf numFmtId="0" fontId="101" fillId="10" borderId="0" xfId="0" applyFont="1" applyFill="1" applyAlignment="1" applyProtection="1">
      <alignment horizontal="center" vertical="center"/>
      <protection hidden="1"/>
    </xf>
    <xf numFmtId="0" fontId="15" fillId="3" borderId="79" xfId="3" applyFont="1" applyFill="1" applyBorder="1" applyAlignment="1" applyProtection="1">
      <alignment vertical="center"/>
      <protection hidden="1"/>
    </xf>
    <xf numFmtId="0" fontId="15" fillId="3" borderId="293" xfId="3" applyFont="1" applyFill="1" applyBorder="1" applyAlignment="1" applyProtection="1">
      <alignment vertical="center"/>
      <protection hidden="1"/>
    </xf>
    <xf numFmtId="0" fontId="0" fillId="3" borderId="0" xfId="4" applyFont="1" applyFill="1" applyBorder="1" applyProtection="1">
      <alignment horizontal="right" vertical="center" indent="1"/>
      <protection hidden="1"/>
    </xf>
    <xf numFmtId="0" fontId="15" fillId="3" borderId="359" xfId="0" applyFont="1" applyFill="1" applyBorder="1" applyAlignment="1" applyProtection="1">
      <alignment horizontal="center" vertical="center"/>
      <protection hidden="1"/>
    </xf>
    <xf numFmtId="0" fontId="13" fillId="3" borderId="246" xfId="4" applyFont="1" applyFill="1" applyBorder="1" applyProtection="1">
      <alignment horizontal="right" vertical="center" indent="1"/>
      <protection hidden="1"/>
    </xf>
    <xf numFmtId="0" fontId="13" fillId="3" borderId="347" xfId="4" applyFont="1" applyFill="1" applyBorder="1" applyProtection="1">
      <alignment horizontal="right" vertical="center" indent="1"/>
      <protection hidden="1"/>
    </xf>
    <xf numFmtId="0" fontId="0" fillId="3" borderId="371" xfId="0" applyFill="1" applyBorder="1" applyAlignment="1">
      <alignment horizontal="center" vertical="center"/>
    </xf>
    <xf numFmtId="0" fontId="0" fillId="3" borderId="372" xfId="0" applyFill="1" applyBorder="1" applyAlignment="1">
      <alignment horizontal="center" vertical="center"/>
    </xf>
    <xf numFmtId="164" fontId="8" fillId="3" borderId="248" xfId="0" applyNumberFormat="1" applyFont="1" applyFill="1" applyBorder="1" applyAlignment="1" applyProtection="1">
      <alignment horizontal="center" vertical="center"/>
      <protection hidden="1"/>
    </xf>
    <xf numFmtId="0" fontId="15" fillId="3" borderId="300" xfId="3" applyFont="1" applyFill="1" applyBorder="1" applyAlignment="1" applyProtection="1">
      <alignment vertical="center"/>
      <protection hidden="1"/>
    </xf>
    <xf numFmtId="0" fontId="13" fillId="3" borderId="360" xfId="4" applyFont="1" applyFill="1" applyBorder="1" applyProtection="1">
      <alignment horizontal="right" vertical="center" indent="1"/>
      <protection hidden="1"/>
    </xf>
    <xf numFmtId="0" fontId="15" fillId="3" borderId="360" xfId="4" applyFont="1" applyFill="1" applyBorder="1" applyProtection="1">
      <alignment horizontal="right" vertical="center" indent="1"/>
      <protection hidden="1"/>
    </xf>
    <xf numFmtId="3" fontId="15" fillId="3" borderId="360" xfId="0" applyNumberFormat="1" applyFont="1" applyFill="1" applyBorder="1" applyAlignment="1">
      <alignment horizontal="center" vertical="center"/>
    </xf>
    <xf numFmtId="0" fontId="13" fillId="3" borderId="360" xfId="0" applyFont="1" applyFill="1" applyBorder="1" applyAlignment="1" applyProtection="1">
      <alignment vertical="center"/>
      <protection hidden="1"/>
    </xf>
    <xf numFmtId="0" fontId="0" fillId="3" borderId="360" xfId="4" applyFont="1" applyFill="1" applyBorder="1" applyProtection="1">
      <alignment horizontal="right" vertical="center" indent="1"/>
      <protection hidden="1"/>
    </xf>
    <xf numFmtId="0" fontId="0" fillId="3" borderId="360" xfId="0" applyFill="1" applyBorder="1" applyAlignment="1" applyProtection="1">
      <alignment vertical="center"/>
      <protection hidden="1"/>
    </xf>
    <xf numFmtId="0" fontId="0" fillId="3" borderId="362" xfId="0" applyFill="1" applyBorder="1" applyAlignment="1" applyProtection="1">
      <alignment vertical="center"/>
      <protection hidden="1"/>
    </xf>
    <xf numFmtId="9" fontId="15" fillId="3" borderId="360" xfId="0" applyNumberFormat="1" applyFont="1" applyFill="1" applyBorder="1" applyAlignment="1">
      <alignment horizontal="center" vertical="center"/>
    </xf>
    <xf numFmtId="0" fontId="13" fillId="3" borderId="362" xfId="0" applyFont="1" applyFill="1" applyBorder="1" applyAlignment="1" applyProtection="1">
      <alignment vertical="center"/>
      <protection hidden="1"/>
    </xf>
    <xf numFmtId="0" fontId="0" fillId="3" borderId="375" xfId="0" applyFill="1" applyBorder="1" applyAlignment="1" applyProtection="1">
      <alignment vertical="center"/>
      <protection hidden="1"/>
    </xf>
    <xf numFmtId="0" fontId="13" fillId="3" borderId="375" xfId="4" applyFont="1" applyFill="1" applyBorder="1" applyProtection="1">
      <alignment horizontal="right" vertical="center" indent="1"/>
      <protection hidden="1"/>
    </xf>
    <xf numFmtId="0" fontId="15" fillId="3" borderId="375" xfId="0" applyFont="1" applyFill="1" applyBorder="1" applyAlignment="1" applyProtection="1">
      <alignment horizontal="center" vertical="center"/>
      <protection hidden="1"/>
    </xf>
    <xf numFmtId="0" fontId="15" fillId="3" borderId="375" xfId="4" applyFont="1" applyFill="1" applyBorder="1" applyProtection="1">
      <alignment horizontal="right" vertical="center" indent="1"/>
      <protection hidden="1"/>
    </xf>
    <xf numFmtId="3" fontId="15" fillId="3" borderId="375" xfId="0" applyNumberFormat="1" applyFont="1" applyFill="1" applyBorder="1" applyAlignment="1">
      <alignment horizontal="center" vertical="center"/>
    </xf>
    <xf numFmtId="0" fontId="0" fillId="3" borderId="375" xfId="4" applyFont="1" applyFill="1" applyBorder="1" applyProtection="1">
      <alignment horizontal="right" vertical="center" indent="1"/>
      <protection hidden="1"/>
    </xf>
    <xf numFmtId="0" fontId="0" fillId="3" borderId="380" xfId="0" applyFill="1" applyBorder="1" applyAlignment="1" applyProtection="1">
      <alignment vertical="center"/>
      <protection hidden="1"/>
    </xf>
    <xf numFmtId="0" fontId="15" fillId="3" borderId="348" xfId="3" applyFont="1" applyFill="1" applyBorder="1" applyAlignment="1" applyProtection="1">
      <alignment vertical="center"/>
      <protection hidden="1"/>
    </xf>
    <xf numFmtId="0" fontId="15" fillId="3" borderId="347" xfId="0" applyFont="1" applyFill="1" applyBorder="1" applyAlignment="1" applyProtection="1">
      <alignment horizontal="center" vertical="center"/>
      <protection hidden="1"/>
    </xf>
    <xf numFmtId="0" fontId="15" fillId="3" borderId="368" xfId="0" applyFont="1" applyFill="1" applyBorder="1" applyAlignment="1" applyProtection="1">
      <alignment horizontal="center" vertical="center"/>
      <protection hidden="1"/>
    </xf>
    <xf numFmtId="0" fontId="13" fillId="3" borderId="255" xfId="4" applyFont="1" applyFill="1" applyBorder="1" applyAlignment="1" applyProtection="1">
      <alignment vertical="center"/>
      <protection hidden="1"/>
    </xf>
    <xf numFmtId="0" fontId="15" fillId="10" borderId="24" xfId="0" applyFont="1" applyFill="1" applyBorder="1" applyAlignment="1" applyProtection="1">
      <alignment horizontal="center" vertical="center"/>
      <protection hidden="1"/>
    </xf>
    <xf numFmtId="0" fontId="2" fillId="10" borderId="77" xfId="3" applyFont="1" applyFill="1" applyBorder="1" applyAlignment="1" applyProtection="1">
      <alignment horizontal="center" vertical="center"/>
      <protection hidden="1"/>
    </xf>
    <xf numFmtId="0" fontId="2" fillId="10" borderId="77" xfId="3" applyFont="1" applyFill="1" applyBorder="1" applyProtection="1">
      <alignment horizontal="left" vertical="center" indent="1"/>
      <protection hidden="1"/>
    </xf>
    <xf numFmtId="0" fontId="15" fillId="10" borderId="77" xfId="0" applyFont="1" applyFill="1" applyBorder="1" applyAlignment="1" applyProtection="1">
      <alignment horizontal="center" vertical="center"/>
      <protection hidden="1"/>
    </xf>
    <xf numFmtId="0" fontId="97" fillId="10" borderId="77" xfId="0" applyFont="1" applyFill="1" applyBorder="1" applyAlignment="1" applyProtection="1">
      <alignment horizontal="center" vertical="center"/>
      <protection hidden="1"/>
    </xf>
    <xf numFmtId="0" fontId="99" fillId="10" borderId="77" xfId="0" applyFont="1" applyFill="1" applyBorder="1" applyAlignment="1" applyProtection="1">
      <alignment horizontal="center" vertical="center"/>
      <protection hidden="1"/>
    </xf>
    <xf numFmtId="0" fontId="98" fillId="10" borderId="77" xfId="4" applyFont="1" applyFill="1" applyBorder="1" applyProtection="1">
      <alignment horizontal="right" vertical="center" indent="1"/>
      <protection hidden="1"/>
    </xf>
    <xf numFmtId="0" fontId="97" fillId="10" borderId="77" xfId="4" applyFont="1" applyFill="1" applyBorder="1" applyProtection="1">
      <alignment horizontal="right" vertical="center" indent="1"/>
      <protection hidden="1"/>
    </xf>
    <xf numFmtId="0" fontId="96" fillId="10" borderId="77" xfId="0" applyFont="1" applyFill="1" applyBorder="1" applyAlignment="1" applyProtection="1">
      <alignment horizontal="center" vertical="center"/>
      <protection hidden="1"/>
    </xf>
    <xf numFmtId="0" fontId="101" fillId="10" borderId="77" xfId="0" applyFont="1" applyFill="1" applyBorder="1" applyAlignment="1" applyProtection="1">
      <alignment horizontal="center" vertical="center"/>
      <protection hidden="1"/>
    </xf>
    <xf numFmtId="0" fontId="15" fillId="10" borderId="78" xfId="0" applyFont="1" applyFill="1" applyBorder="1" applyAlignment="1" applyProtection="1">
      <alignment horizontal="center" vertical="center"/>
      <protection hidden="1"/>
    </xf>
    <xf numFmtId="0" fontId="0" fillId="3" borderId="382" xfId="0" applyFill="1" applyBorder="1" applyAlignment="1" applyProtection="1">
      <alignment vertical="center"/>
      <protection hidden="1"/>
    </xf>
    <xf numFmtId="0" fontId="8" fillId="9" borderId="0" xfId="0" applyFont="1" applyFill="1" applyAlignment="1" applyProtection="1">
      <alignment vertical="center"/>
      <protection hidden="1"/>
    </xf>
    <xf numFmtId="0" fontId="15" fillId="3" borderId="4" xfId="0" applyFont="1" applyFill="1" applyBorder="1" applyAlignment="1" applyProtection="1">
      <alignment vertical="center"/>
      <protection hidden="1"/>
    </xf>
    <xf numFmtId="0" fontId="15" fillId="3" borderId="2" xfId="0" applyFont="1" applyFill="1" applyBorder="1" applyAlignment="1" applyProtection="1">
      <alignment vertical="center"/>
      <protection hidden="1"/>
    </xf>
    <xf numFmtId="0" fontId="15" fillId="3" borderId="6" xfId="0" applyFont="1" applyFill="1" applyBorder="1" applyAlignment="1" applyProtection="1">
      <alignment vertical="center"/>
      <protection hidden="1"/>
    </xf>
    <xf numFmtId="0" fontId="15" fillId="3" borderId="7" xfId="0" applyFont="1" applyFill="1" applyBorder="1" applyAlignment="1" applyProtection="1">
      <alignment vertical="center"/>
      <protection hidden="1"/>
    </xf>
    <xf numFmtId="0" fontId="15" fillId="3" borderId="8" xfId="0" applyFont="1" applyFill="1" applyBorder="1" applyAlignment="1" applyProtection="1">
      <alignment vertical="center"/>
      <protection hidden="1"/>
    </xf>
    <xf numFmtId="0" fontId="30" fillId="5" borderId="383" xfId="0" applyFont="1" applyFill="1" applyBorder="1" applyAlignment="1">
      <alignment horizontal="center" vertical="center"/>
    </xf>
    <xf numFmtId="0" fontId="15" fillId="3" borderId="0" xfId="4" applyFont="1" applyFill="1" applyBorder="1" applyAlignment="1" applyProtection="1">
      <alignment horizontal="right" vertical="center" indent="3"/>
      <protection hidden="1"/>
    </xf>
    <xf numFmtId="0" fontId="15" fillId="3" borderId="0" xfId="0" applyFont="1" applyFill="1" applyAlignment="1" applyProtection="1">
      <alignment horizontal="right" vertical="center" indent="3"/>
      <protection hidden="1"/>
    </xf>
    <xf numFmtId="0" fontId="15" fillId="3" borderId="385" xfId="0" applyFont="1" applyFill="1" applyBorder="1" applyAlignment="1" applyProtection="1">
      <alignment vertical="center"/>
      <protection hidden="1"/>
    </xf>
    <xf numFmtId="0" fontId="0" fillId="3" borderId="358" xfId="0" applyFill="1" applyBorder="1" applyAlignment="1" applyProtection="1">
      <alignment horizontal="center" vertical="center"/>
      <protection hidden="1"/>
    </xf>
    <xf numFmtId="0" fontId="0" fillId="3" borderId="210" xfId="0" applyFill="1" applyBorder="1" applyAlignment="1" applyProtection="1">
      <alignment horizontal="center" vertical="center"/>
      <protection hidden="1"/>
    </xf>
    <xf numFmtId="164" fontId="0" fillId="22" borderId="248" xfId="4" applyNumberFormat="1" applyFont="1" applyFill="1" applyBorder="1" applyProtection="1">
      <alignment horizontal="right" vertical="center" indent="1"/>
      <protection hidden="1"/>
    </xf>
    <xf numFmtId="164" fontId="0" fillId="22" borderId="247" xfId="4" applyNumberFormat="1" applyFont="1" applyFill="1" applyBorder="1" applyProtection="1">
      <alignment horizontal="right" vertical="center" indent="1"/>
      <protection hidden="1"/>
    </xf>
    <xf numFmtId="164" fontId="0" fillId="6" borderId="248" xfId="4" applyNumberFormat="1" applyFont="1" applyFill="1" applyBorder="1" applyProtection="1">
      <alignment horizontal="right" vertical="center" indent="1"/>
      <protection locked="0" hidden="1"/>
    </xf>
    <xf numFmtId="164" fontId="0" fillId="6" borderId="247" xfId="4" applyNumberFormat="1" applyFont="1" applyFill="1" applyBorder="1" applyProtection="1">
      <alignment horizontal="right" vertical="center" indent="1"/>
      <protection locked="0" hidden="1"/>
    </xf>
    <xf numFmtId="164" fontId="0" fillId="6" borderId="386" xfId="4" applyNumberFormat="1" applyFont="1" applyFill="1" applyBorder="1" applyProtection="1">
      <alignment horizontal="right" vertical="center" indent="1"/>
      <protection locked="0" hidden="1"/>
    </xf>
    <xf numFmtId="164" fontId="0" fillId="22" borderId="386" xfId="4" applyNumberFormat="1" applyFont="1" applyFill="1" applyBorder="1" applyProtection="1">
      <alignment horizontal="right" vertical="center" indent="1"/>
      <protection hidden="1"/>
    </xf>
    <xf numFmtId="0" fontId="0" fillId="9" borderId="92" xfId="0" applyFill="1" applyBorder="1" applyAlignment="1" applyProtection="1">
      <alignment horizontal="left" vertical="center" indent="1"/>
      <protection hidden="1"/>
    </xf>
    <xf numFmtId="0" fontId="16" fillId="3" borderId="7" xfId="0" applyFont="1" applyFill="1" applyBorder="1" applyAlignment="1" applyProtection="1">
      <alignment vertical="center"/>
      <protection hidden="1"/>
    </xf>
    <xf numFmtId="0" fontId="69" fillId="25" borderId="287" xfId="0" applyFont="1" applyFill="1" applyBorder="1" applyAlignment="1" applyProtection="1">
      <alignment vertical="center"/>
      <protection hidden="1"/>
    </xf>
    <xf numFmtId="0" fontId="69" fillId="25" borderId="288" xfId="0" applyFont="1" applyFill="1" applyBorder="1" applyAlignment="1" applyProtection="1">
      <alignment vertical="center"/>
      <protection hidden="1"/>
    </xf>
    <xf numFmtId="0" fontId="15" fillId="3" borderId="1" xfId="0" applyFont="1" applyFill="1" applyBorder="1" applyAlignment="1" applyProtection="1">
      <alignment vertical="center"/>
      <protection hidden="1"/>
    </xf>
    <xf numFmtId="0" fontId="3" fillId="3" borderId="2" xfId="0" applyFont="1" applyFill="1" applyBorder="1" applyAlignment="1" applyProtection="1">
      <alignment vertical="center"/>
      <protection hidden="1"/>
    </xf>
    <xf numFmtId="0" fontId="15" fillId="3" borderId="3" xfId="0" applyFont="1" applyFill="1" applyBorder="1" applyAlignment="1" applyProtection="1">
      <alignment vertical="center"/>
      <protection hidden="1"/>
    </xf>
    <xf numFmtId="0" fontId="15" fillId="4" borderId="2" xfId="0" applyFont="1" applyFill="1" applyBorder="1" applyAlignment="1" applyProtection="1">
      <alignment vertical="center"/>
      <protection hidden="1"/>
    </xf>
    <xf numFmtId="0" fontId="48" fillId="3" borderId="0" xfId="0" applyFont="1" applyFill="1" applyAlignment="1" applyProtection="1">
      <alignment vertical="center"/>
      <protection hidden="1"/>
    </xf>
    <xf numFmtId="0" fontId="105" fillId="9" borderId="0" xfId="0" applyFont="1" applyFill="1" applyAlignment="1" applyProtection="1">
      <alignment vertical="center"/>
      <protection hidden="1"/>
    </xf>
    <xf numFmtId="0" fontId="10" fillId="3" borderId="0" xfId="0" applyFont="1" applyFill="1" applyAlignment="1" applyProtection="1">
      <alignment horizontal="left" vertical="center" indent="2"/>
      <protection hidden="1"/>
    </xf>
    <xf numFmtId="0" fontId="0" fillId="2" borderId="4" xfId="0" applyFill="1" applyBorder="1" applyAlignment="1" applyProtection="1">
      <alignment vertical="center"/>
      <protection hidden="1"/>
    </xf>
    <xf numFmtId="0" fontId="60" fillId="2" borderId="0" xfId="0" applyFont="1" applyFill="1" applyAlignment="1" applyProtection="1">
      <alignment vertical="center"/>
      <protection hidden="1"/>
    </xf>
    <xf numFmtId="0" fontId="0" fillId="3" borderId="0" xfId="0" quotePrefix="1" applyFill="1" applyAlignment="1" applyProtection="1">
      <alignment horizontal="right" vertical="center" indent="1"/>
      <protection hidden="1"/>
    </xf>
    <xf numFmtId="168" fontId="0" fillId="9" borderId="0" xfId="1" applyNumberFormat="1" applyFont="1" applyFill="1" applyBorder="1" applyAlignment="1" applyProtection="1">
      <alignment horizontal="center" vertical="center"/>
      <protection hidden="1"/>
    </xf>
    <xf numFmtId="170" fontId="0" fillId="3" borderId="0" xfId="0" applyNumberFormat="1" applyFill="1" applyAlignment="1" applyProtection="1">
      <alignment vertical="center"/>
      <protection hidden="1"/>
    </xf>
    <xf numFmtId="0" fontId="52" fillId="3" borderId="0" xfId="0" applyFont="1" applyFill="1" applyAlignment="1" applyProtection="1">
      <alignment horizontal="right" vertical="center"/>
      <protection hidden="1"/>
    </xf>
    <xf numFmtId="0" fontId="52" fillId="3" borderId="0" xfId="0" applyFont="1" applyFill="1" applyAlignment="1" applyProtection="1">
      <alignment vertical="center"/>
      <protection hidden="1"/>
    </xf>
    <xf numFmtId="164" fontId="0" fillId="3" borderId="0" xfId="0" applyNumberFormat="1" applyFill="1" applyAlignment="1" applyProtection="1">
      <alignment vertical="center"/>
      <protection hidden="1"/>
    </xf>
    <xf numFmtId="0" fontId="53" fillId="3" borderId="0" xfId="0" quotePrefix="1" applyFont="1" applyFill="1" applyAlignment="1" applyProtection="1">
      <alignment horizontal="right" vertical="center"/>
      <protection hidden="1"/>
    </xf>
    <xf numFmtId="0" fontId="0" fillId="18" borderId="4" xfId="0" applyFill="1" applyBorder="1" applyAlignment="1" applyProtection="1">
      <alignment vertical="center"/>
      <protection hidden="1"/>
    </xf>
    <xf numFmtId="0" fontId="50" fillId="18" borderId="0" xfId="0" applyFont="1" applyFill="1" applyAlignment="1" applyProtection="1">
      <alignment vertical="center"/>
      <protection hidden="1"/>
    </xf>
    <xf numFmtId="0" fontId="0" fillId="18" borderId="0" xfId="0" applyFill="1" applyAlignment="1" applyProtection="1">
      <alignment vertical="center"/>
      <protection hidden="1"/>
    </xf>
    <xf numFmtId="0" fontId="0" fillId="18" borderId="0" xfId="0" quotePrefix="1" applyFill="1" applyAlignment="1" applyProtection="1">
      <alignment horizontal="right" vertical="center" indent="1"/>
      <protection hidden="1"/>
    </xf>
    <xf numFmtId="164" fontId="0" fillId="3" borderId="0" xfId="0" applyNumberFormat="1" applyFill="1" applyAlignment="1" applyProtection="1">
      <alignment horizontal="center" vertical="center"/>
      <protection hidden="1"/>
    </xf>
    <xf numFmtId="0" fontId="36" fillId="3" borderId="0" xfId="0" applyFont="1" applyFill="1" applyAlignment="1" applyProtection="1">
      <alignment vertical="center"/>
      <protection hidden="1"/>
    </xf>
    <xf numFmtId="0" fontId="38" fillId="9" borderId="0" xfId="0" applyFont="1" applyFill="1" applyAlignment="1" applyProtection="1">
      <alignment horizontal="left" vertical="center" indent="1"/>
      <protection hidden="1"/>
    </xf>
    <xf numFmtId="0" fontId="69" fillId="2" borderId="4" xfId="0" applyFont="1" applyFill="1" applyBorder="1" applyAlignment="1" applyProtection="1">
      <alignment vertical="center"/>
      <protection hidden="1"/>
    </xf>
    <xf numFmtId="0" fontId="69" fillId="2" borderId="0" xfId="0" applyFont="1" applyFill="1" applyAlignment="1" applyProtection="1">
      <alignment vertical="center"/>
      <protection hidden="1"/>
    </xf>
    <xf numFmtId="0" fontId="30" fillId="3" borderId="0" xfId="0" applyFont="1" applyFill="1" applyAlignment="1" applyProtection="1">
      <alignment horizontal="center" vertical="center" wrapText="1"/>
      <protection hidden="1"/>
    </xf>
    <xf numFmtId="0" fontId="37" fillId="3" borderId="0" xfId="0" applyFont="1" applyFill="1" applyAlignment="1" applyProtection="1">
      <alignment horizontal="right" vertical="center"/>
      <protection hidden="1"/>
    </xf>
    <xf numFmtId="0" fontId="37" fillId="3" borderId="0" xfId="0" applyFont="1" applyFill="1" applyAlignment="1" applyProtection="1">
      <alignment horizontal="right"/>
      <protection hidden="1"/>
    </xf>
    <xf numFmtId="0" fontId="2" fillId="10" borderId="4" xfId="0" applyFont="1" applyFill="1" applyBorder="1" applyAlignment="1" applyProtection="1">
      <alignment vertical="center"/>
      <protection hidden="1"/>
    </xf>
    <xf numFmtId="0" fontId="2" fillId="10" borderId="0" xfId="0" applyFont="1" applyFill="1" applyAlignment="1" applyProtection="1">
      <alignment horizontal="center" vertical="center"/>
      <protection hidden="1"/>
    </xf>
    <xf numFmtId="0" fontId="74" fillId="3" borderId="0" xfId="0" applyFont="1" applyFill="1" applyAlignment="1" applyProtection="1">
      <alignment horizontal="right" vertical="center" indent="2"/>
      <protection hidden="1"/>
    </xf>
    <xf numFmtId="0" fontId="8" fillId="3" borderId="7" xfId="0" applyFont="1" applyFill="1" applyBorder="1" applyAlignment="1" applyProtection="1">
      <alignment horizontal="center" vertical="center"/>
      <protection hidden="1"/>
    </xf>
    <xf numFmtId="0" fontId="70" fillId="3" borderId="7" xfId="0" applyFont="1" applyFill="1" applyBorder="1" applyAlignment="1" applyProtection="1">
      <alignment vertical="center"/>
      <protection hidden="1"/>
    </xf>
    <xf numFmtId="0" fontId="8" fillId="3" borderId="7" xfId="0" applyFont="1" applyFill="1" applyBorder="1" applyAlignment="1" applyProtection="1">
      <alignment horizontal="right" vertical="center"/>
      <protection hidden="1"/>
    </xf>
    <xf numFmtId="3" fontId="8" fillId="3" borderId="7" xfId="0" applyNumberFormat="1" applyFont="1" applyFill="1" applyBorder="1" applyAlignment="1" applyProtection="1">
      <alignment vertical="center"/>
      <protection hidden="1"/>
    </xf>
    <xf numFmtId="8" fontId="8" fillId="3" borderId="7" xfId="0" applyNumberFormat="1" applyFont="1" applyFill="1" applyBorder="1" applyAlignment="1" applyProtection="1">
      <alignment vertical="center"/>
      <protection hidden="1"/>
    </xf>
    <xf numFmtId="3" fontId="70" fillId="3" borderId="7" xfId="0" applyNumberFormat="1" applyFont="1" applyFill="1" applyBorder="1" applyAlignment="1" applyProtection="1">
      <alignment horizontal="right" vertical="center"/>
      <protection hidden="1"/>
    </xf>
    <xf numFmtId="0" fontId="4" fillId="9" borderId="2" xfId="0" applyFont="1" applyFill="1" applyBorder="1" applyAlignment="1" applyProtection="1">
      <alignment vertical="center"/>
      <protection hidden="1"/>
    </xf>
    <xf numFmtId="0" fontId="3" fillId="3" borderId="4" xfId="0" applyFont="1" applyFill="1" applyBorder="1" applyAlignment="1" applyProtection="1">
      <alignment horizontal="center" vertical="center"/>
      <protection hidden="1"/>
    </xf>
    <xf numFmtId="0" fontId="15" fillId="9" borderId="395" xfId="0" applyFont="1" applyFill="1" applyBorder="1" applyAlignment="1" applyProtection="1">
      <alignment vertical="center"/>
      <protection hidden="1"/>
    </xf>
    <xf numFmtId="0" fontId="104" fillId="3" borderId="0" xfId="0" applyFont="1" applyFill="1" applyAlignment="1" applyProtection="1">
      <alignment vertical="center"/>
      <protection hidden="1"/>
    </xf>
    <xf numFmtId="0" fontId="77" fillId="3" borderId="4" xfId="0" applyFont="1" applyFill="1" applyBorder="1" applyAlignment="1" applyProtection="1">
      <alignment horizontal="left" vertical="center"/>
      <protection hidden="1"/>
    </xf>
    <xf numFmtId="0" fontId="77" fillId="3" borderId="0" xfId="0" applyFont="1" applyFill="1" applyAlignment="1" applyProtection="1">
      <alignment horizontal="left" vertical="center"/>
      <protection hidden="1"/>
    </xf>
    <xf numFmtId="0" fontId="77" fillId="3" borderId="5" xfId="0" applyFont="1" applyFill="1" applyBorder="1" applyAlignment="1" applyProtection="1">
      <alignment horizontal="left" vertical="center"/>
      <protection hidden="1"/>
    </xf>
    <xf numFmtId="0" fontId="104" fillId="3" borderId="0" xfId="0" applyFont="1" applyFill="1" applyAlignment="1" applyProtection="1">
      <alignment horizontal="left" vertical="center"/>
      <protection hidden="1"/>
    </xf>
    <xf numFmtId="0" fontId="77" fillId="3" borderId="1" xfId="0" applyFont="1" applyFill="1" applyBorder="1" applyAlignment="1" applyProtection="1">
      <alignment horizontal="left" vertical="center"/>
      <protection hidden="1"/>
    </xf>
    <xf numFmtId="0" fontId="104" fillId="3" borderId="21" xfId="0" applyFont="1" applyFill="1" applyBorder="1" applyAlignment="1" applyProtection="1">
      <alignment vertical="center"/>
      <protection hidden="1"/>
    </xf>
    <xf numFmtId="0" fontId="77" fillId="3" borderId="21" xfId="0" applyFont="1" applyFill="1" applyBorder="1" applyAlignment="1" applyProtection="1">
      <alignment horizontal="left" vertical="center"/>
      <protection hidden="1"/>
    </xf>
    <xf numFmtId="0" fontId="104" fillId="3" borderId="391" xfId="0" applyFont="1" applyFill="1" applyBorder="1" applyAlignment="1" applyProtection="1">
      <alignment horizontal="center" vertical="center" wrapText="1"/>
      <protection hidden="1"/>
    </xf>
    <xf numFmtId="0" fontId="104" fillId="3" borderId="392" xfId="0" applyFont="1" applyFill="1" applyBorder="1" applyAlignment="1" applyProtection="1">
      <alignment horizontal="center" vertical="center" wrapText="1"/>
      <protection hidden="1"/>
    </xf>
    <xf numFmtId="0" fontId="104" fillId="3" borderId="108" xfId="0" applyFont="1" applyFill="1" applyBorder="1" applyAlignment="1" applyProtection="1">
      <alignment horizontal="center" vertical="center" wrapText="1"/>
      <protection hidden="1"/>
    </xf>
    <xf numFmtId="175" fontId="104" fillId="3" borderId="390" xfId="0" applyNumberFormat="1" applyFont="1" applyFill="1" applyBorder="1" applyAlignment="1" applyProtection="1">
      <alignment horizontal="center" vertical="center"/>
      <protection hidden="1"/>
    </xf>
    <xf numFmtId="175" fontId="104" fillId="3" borderId="394" xfId="0" applyNumberFormat="1" applyFont="1" applyFill="1" applyBorder="1" applyAlignment="1" applyProtection="1">
      <alignment horizontal="center" vertical="center"/>
      <protection hidden="1"/>
    </xf>
    <xf numFmtId="166" fontId="104" fillId="3" borderId="22" xfId="0" applyNumberFormat="1" applyFont="1" applyFill="1" applyBorder="1" applyAlignment="1" applyProtection="1">
      <alignment horizontal="center" vertical="center"/>
      <protection hidden="1"/>
    </xf>
    <xf numFmtId="175" fontId="104" fillId="3" borderId="389" xfId="0" applyNumberFormat="1" applyFont="1" applyFill="1" applyBorder="1" applyAlignment="1" applyProtection="1">
      <alignment horizontal="center" vertical="center"/>
      <protection hidden="1"/>
    </xf>
    <xf numFmtId="175" fontId="104" fillId="3" borderId="396" xfId="0" applyNumberFormat="1" applyFont="1" applyFill="1" applyBorder="1" applyAlignment="1" applyProtection="1">
      <alignment horizontal="center" vertical="center"/>
      <protection hidden="1"/>
    </xf>
    <xf numFmtId="166" fontId="104" fillId="3" borderId="393" xfId="0" applyNumberFormat="1" applyFont="1" applyFill="1" applyBorder="1" applyAlignment="1" applyProtection="1">
      <alignment horizontal="center" vertical="center"/>
      <protection hidden="1"/>
    </xf>
    <xf numFmtId="175" fontId="104" fillId="3" borderId="390" xfId="0" quotePrefix="1" applyNumberFormat="1" applyFont="1" applyFill="1" applyBorder="1" applyAlignment="1" applyProtection="1">
      <alignment horizontal="center" vertical="center"/>
      <protection hidden="1"/>
    </xf>
    <xf numFmtId="175" fontId="104" fillId="3" borderId="22" xfId="0" quotePrefix="1" applyNumberFormat="1" applyFont="1" applyFill="1" applyBorder="1" applyAlignment="1" applyProtection="1">
      <alignment horizontal="center" vertical="center"/>
      <protection hidden="1"/>
    </xf>
    <xf numFmtId="175" fontId="104" fillId="3" borderId="110" xfId="0" quotePrefix="1" applyNumberFormat="1" applyFont="1" applyFill="1" applyBorder="1" applyAlignment="1" applyProtection="1">
      <alignment horizontal="center" vertical="center"/>
      <protection hidden="1"/>
    </xf>
    <xf numFmtId="0" fontId="77" fillId="3" borderId="0" xfId="4" applyFont="1" applyFill="1" applyBorder="1" applyAlignment="1" applyProtection="1">
      <alignment horizontal="left" vertical="center"/>
      <protection hidden="1"/>
    </xf>
    <xf numFmtId="0" fontId="108" fillId="3" borderId="0" xfId="0" applyFont="1" applyFill="1" applyAlignment="1" applyProtection="1">
      <alignment vertical="center"/>
      <protection hidden="1"/>
    </xf>
    <xf numFmtId="164" fontId="104" fillId="3" borderId="229" xfId="0" quotePrefix="1" applyNumberFormat="1" applyFont="1" applyFill="1" applyBorder="1" applyAlignment="1" applyProtection="1">
      <alignment horizontal="center" vertical="center"/>
      <protection hidden="1"/>
    </xf>
    <xf numFmtId="0" fontId="104" fillId="3" borderId="0" xfId="0" applyFont="1" applyFill="1" applyAlignment="1" applyProtection="1">
      <alignment horizontal="center" vertical="center"/>
      <protection hidden="1"/>
    </xf>
    <xf numFmtId="0" fontId="77" fillId="3" borderId="2" xfId="0" applyFont="1" applyFill="1" applyBorder="1" applyAlignment="1" applyProtection="1">
      <alignment horizontal="left" vertical="center"/>
      <protection hidden="1"/>
    </xf>
    <xf numFmtId="0" fontId="77" fillId="3" borderId="3" xfId="0" applyFont="1" applyFill="1" applyBorder="1" applyAlignment="1" applyProtection="1">
      <alignment horizontal="left" vertical="center"/>
      <protection hidden="1"/>
    </xf>
    <xf numFmtId="0" fontId="104" fillId="3" borderId="100" xfId="0" applyFont="1" applyFill="1" applyBorder="1" applyAlignment="1" applyProtection="1">
      <alignment horizontal="left" vertical="center"/>
      <protection hidden="1"/>
    </xf>
    <xf numFmtId="0" fontId="77" fillId="3" borderId="100" xfId="0" applyFont="1" applyFill="1" applyBorder="1" applyAlignment="1" applyProtection="1">
      <alignment horizontal="left" vertical="center"/>
      <protection hidden="1"/>
    </xf>
    <xf numFmtId="0" fontId="77" fillId="3" borderId="0" xfId="0" applyFont="1" applyFill="1" applyAlignment="1" applyProtection="1">
      <alignment horizontal="center" vertical="center"/>
      <protection hidden="1"/>
    </xf>
    <xf numFmtId="0" fontId="77" fillId="3" borderId="0" xfId="0" applyFont="1" applyFill="1" applyAlignment="1" applyProtection="1">
      <alignment vertical="center"/>
      <protection hidden="1"/>
    </xf>
    <xf numFmtId="0" fontId="77" fillId="3" borderId="253" xfId="0" applyFont="1" applyFill="1" applyBorder="1" applyAlignment="1" applyProtection="1">
      <alignment horizontal="left" vertical="center"/>
      <protection hidden="1"/>
    </xf>
    <xf numFmtId="0" fontId="77" fillId="3" borderId="0" xfId="4" applyFont="1" applyFill="1" applyBorder="1" applyAlignment="1" applyProtection="1">
      <alignment vertical="center"/>
      <protection hidden="1"/>
    </xf>
    <xf numFmtId="0" fontId="107" fillId="3" borderId="0" xfId="4" applyFont="1" applyFill="1" applyBorder="1" applyAlignment="1" applyProtection="1">
      <alignment vertical="center"/>
      <protection hidden="1"/>
    </xf>
    <xf numFmtId="0" fontId="77" fillId="3" borderId="18" xfId="4" applyFont="1" applyFill="1" applyBorder="1" applyAlignment="1" applyProtection="1">
      <alignment horizontal="left" vertical="center"/>
      <protection hidden="1"/>
    </xf>
    <xf numFmtId="0" fontId="77" fillId="3" borderId="18" xfId="0" applyFont="1" applyFill="1" applyBorder="1" applyAlignment="1" applyProtection="1">
      <alignment horizontal="left" vertical="center"/>
      <protection hidden="1"/>
    </xf>
    <xf numFmtId="0" fontId="77" fillId="3" borderId="252" xfId="0" applyFont="1" applyFill="1" applyBorder="1" applyAlignment="1" applyProtection="1">
      <alignment horizontal="left" vertical="center"/>
      <protection hidden="1"/>
    </xf>
    <xf numFmtId="0" fontId="77" fillId="3" borderId="0" xfId="4" applyFont="1" applyFill="1" applyBorder="1" applyAlignment="1" applyProtection="1">
      <protection hidden="1"/>
    </xf>
    <xf numFmtId="0" fontId="107" fillId="3" borderId="253" xfId="4" applyFont="1" applyFill="1" applyBorder="1" applyAlignment="1" applyProtection="1">
      <alignment vertical="center"/>
      <protection hidden="1"/>
    </xf>
    <xf numFmtId="0" fontId="77" fillId="3" borderId="0" xfId="4" applyFont="1" applyFill="1" applyBorder="1" applyProtection="1">
      <alignment horizontal="right" vertical="center" indent="1"/>
      <protection hidden="1"/>
    </xf>
    <xf numFmtId="0" fontId="107" fillId="3" borderId="0" xfId="4" applyFont="1" applyFill="1" applyBorder="1" applyProtection="1">
      <alignment horizontal="right" vertical="center" indent="1"/>
      <protection hidden="1"/>
    </xf>
    <xf numFmtId="165" fontId="104" fillId="10" borderId="391" xfId="0" applyNumberFormat="1" applyFont="1" applyFill="1" applyBorder="1" applyAlignment="1" applyProtection="1">
      <alignment horizontal="center" vertical="center"/>
      <protection hidden="1"/>
    </xf>
    <xf numFmtId="165" fontId="104" fillId="10" borderId="397" xfId="0" applyNumberFormat="1" applyFont="1" applyFill="1" applyBorder="1" applyAlignment="1" applyProtection="1">
      <alignment horizontal="center" vertical="center"/>
      <protection hidden="1"/>
    </xf>
    <xf numFmtId="166" fontId="104" fillId="10" borderId="398" xfId="0" applyNumberFormat="1" applyFont="1" applyFill="1" applyBorder="1" applyAlignment="1" applyProtection="1">
      <alignment horizontal="center" vertical="center"/>
      <protection hidden="1"/>
    </xf>
    <xf numFmtId="165" fontId="104" fillId="10" borderId="392" xfId="0" applyNumberFormat="1" applyFont="1" applyFill="1" applyBorder="1" applyAlignment="1" applyProtection="1">
      <alignment horizontal="center" vertical="center"/>
      <protection hidden="1"/>
    </xf>
    <xf numFmtId="166" fontId="104" fillId="10" borderId="108" xfId="0" applyNumberFormat="1" applyFont="1" applyFill="1" applyBorder="1" applyAlignment="1" applyProtection="1">
      <alignment horizontal="center" vertical="center"/>
      <protection hidden="1"/>
    </xf>
    <xf numFmtId="0" fontId="48" fillId="3" borderId="0" xfId="0" applyFont="1" applyFill="1" applyAlignment="1" applyProtection="1">
      <alignment horizontal="left" vertical="center"/>
      <protection hidden="1"/>
    </xf>
    <xf numFmtId="0" fontId="109" fillId="3" borderId="0" xfId="4" applyFont="1" applyFill="1" applyBorder="1" applyAlignment="1" applyProtection="1">
      <alignment horizontal="left" vertical="center"/>
      <protection hidden="1"/>
    </xf>
    <xf numFmtId="0" fontId="38" fillId="3" borderId="0" xfId="0" applyFont="1" applyFill="1" applyAlignment="1" applyProtection="1">
      <alignment vertical="center"/>
      <protection hidden="1"/>
    </xf>
    <xf numFmtId="0" fontId="77" fillId="3" borderId="0" xfId="0" applyFont="1" applyFill="1" applyAlignment="1" applyProtection="1">
      <alignment vertical="top" wrapText="1"/>
      <protection hidden="1"/>
    </xf>
    <xf numFmtId="0" fontId="77" fillId="3" borderId="0" xfId="0" applyFont="1" applyFill="1" applyAlignment="1" applyProtection="1">
      <alignment horizontal="right" vertical="top" wrapText="1"/>
      <protection hidden="1"/>
    </xf>
    <xf numFmtId="0" fontId="110" fillId="3" borderId="0" xfId="0" applyFont="1" applyFill="1" applyAlignment="1" applyProtection="1">
      <alignment vertical="top"/>
      <protection hidden="1"/>
    </xf>
    <xf numFmtId="0" fontId="110" fillId="3" borderId="0" xfId="0" applyFont="1" applyFill="1" applyAlignment="1" applyProtection="1">
      <alignment horizontal="right" vertical="top"/>
      <protection hidden="1"/>
    </xf>
    <xf numFmtId="0" fontId="77" fillId="3" borderId="0" xfId="0" applyFont="1" applyFill="1" applyAlignment="1" applyProtection="1">
      <alignment horizontal="right" vertical="center"/>
      <protection hidden="1"/>
    </xf>
    <xf numFmtId="0" fontId="77" fillId="3" borderId="18" xfId="0" applyFont="1" applyFill="1" applyBorder="1" applyAlignment="1" applyProtection="1">
      <alignment vertical="center"/>
      <protection hidden="1"/>
    </xf>
    <xf numFmtId="0" fontId="77" fillId="13" borderId="211" xfId="0" applyFont="1" applyFill="1" applyBorder="1" applyAlignment="1" applyProtection="1">
      <alignment horizontal="left" vertical="center" indent="1"/>
      <protection hidden="1"/>
    </xf>
    <xf numFmtId="0" fontId="77" fillId="13" borderId="195" xfId="0" applyFont="1" applyFill="1" applyBorder="1" applyAlignment="1" applyProtection="1">
      <alignment vertical="center"/>
      <protection hidden="1"/>
    </xf>
    <xf numFmtId="0" fontId="77" fillId="13" borderId="214" xfId="0" applyFont="1" applyFill="1" applyBorder="1" applyAlignment="1" applyProtection="1">
      <alignment vertical="center"/>
      <protection hidden="1"/>
    </xf>
    <xf numFmtId="0" fontId="77" fillId="3" borderId="18" xfId="0" applyFont="1" applyFill="1" applyBorder="1" applyAlignment="1" applyProtection="1">
      <alignment horizontal="center" vertical="center"/>
      <protection hidden="1"/>
    </xf>
    <xf numFmtId="0" fontId="77" fillId="10" borderId="211" xfId="0" applyFont="1" applyFill="1" applyBorder="1" applyAlignment="1" applyProtection="1">
      <alignment horizontal="left" vertical="center" indent="1"/>
      <protection hidden="1"/>
    </xf>
    <xf numFmtId="0" fontId="77" fillId="10" borderId="210" xfId="0" applyFont="1" applyFill="1" applyBorder="1" applyAlignment="1" applyProtection="1">
      <alignment vertical="center"/>
      <protection hidden="1"/>
    </xf>
    <xf numFmtId="0" fontId="77" fillId="10" borderId="215" xfId="0" applyFont="1" applyFill="1" applyBorder="1" applyAlignment="1" applyProtection="1">
      <alignment vertical="center"/>
      <protection hidden="1"/>
    </xf>
    <xf numFmtId="0" fontId="77" fillId="13" borderId="217" xfId="0" applyFont="1" applyFill="1" applyBorder="1" applyAlignment="1" applyProtection="1">
      <alignment horizontal="center" vertical="center"/>
      <protection hidden="1"/>
    </xf>
    <xf numFmtId="0" fontId="77" fillId="9" borderId="211" xfId="0" applyFont="1" applyFill="1" applyBorder="1" applyAlignment="1" applyProtection="1">
      <alignment horizontal="left" vertical="center"/>
      <protection hidden="1"/>
    </xf>
    <xf numFmtId="0" fontId="77" fillId="9" borderId="210" xfId="0" applyFont="1" applyFill="1" applyBorder="1" applyAlignment="1" applyProtection="1">
      <alignment horizontal="center" vertical="center"/>
      <protection hidden="1"/>
    </xf>
    <xf numFmtId="0" fontId="77" fillId="9" borderId="215" xfId="0" applyFont="1" applyFill="1" applyBorder="1" applyAlignment="1" applyProtection="1">
      <alignment vertical="center"/>
      <protection hidden="1"/>
    </xf>
    <xf numFmtId="0" fontId="77" fillId="10" borderId="217" xfId="0" applyFont="1" applyFill="1" applyBorder="1" applyAlignment="1" applyProtection="1">
      <alignment horizontal="right" vertical="center"/>
      <protection hidden="1"/>
    </xf>
    <xf numFmtId="0" fontId="107" fillId="3" borderId="18" xfId="0" applyFont="1" applyFill="1" applyBorder="1" applyAlignment="1" applyProtection="1">
      <alignment horizontal="left" vertical="top" wrapText="1" indent="1"/>
      <protection hidden="1"/>
    </xf>
    <xf numFmtId="0" fontId="77" fillId="3" borderId="211" xfId="0" applyFont="1" applyFill="1" applyBorder="1" applyAlignment="1" applyProtection="1">
      <alignment horizontal="center" vertical="center"/>
      <protection hidden="1"/>
    </xf>
    <xf numFmtId="0" fontId="77" fillId="9" borderId="212" xfId="0" applyFont="1" applyFill="1" applyBorder="1" applyAlignment="1" applyProtection="1">
      <alignment vertical="center"/>
      <protection hidden="1"/>
    </xf>
    <xf numFmtId="0" fontId="77" fillId="10" borderId="212" xfId="0" applyFont="1" applyFill="1" applyBorder="1" applyAlignment="1" applyProtection="1">
      <alignment horizontal="right" vertical="center"/>
      <protection hidden="1"/>
    </xf>
    <xf numFmtId="0" fontId="77" fillId="13" borderId="212" xfId="0" applyFont="1" applyFill="1" applyBorder="1" applyAlignment="1" applyProtection="1">
      <alignment horizontal="center" vertical="center"/>
      <protection hidden="1"/>
    </xf>
    <xf numFmtId="0" fontId="77" fillId="3" borderId="18" xfId="0" applyFont="1" applyFill="1" applyBorder="1" applyAlignment="1" applyProtection="1">
      <alignment vertical="top" wrapText="1"/>
      <protection hidden="1"/>
    </xf>
    <xf numFmtId="0" fontId="70" fillId="3" borderId="0" xfId="0" applyFont="1" applyFill="1" applyAlignment="1" applyProtection="1">
      <alignment horizontal="right" vertical="center"/>
      <protection hidden="1"/>
    </xf>
    <xf numFmtId="0" fontId="114" fillId="2" borderId="0" xfId="0" applyFont="1" applyFill="1" applyAlignment="1" applyProtection="1">
      <alignment vertical="center"/>
      <protection hidden="1"/>
    </xf>
    <xf numFmtId="0" fontId="2" fillId="3" borderId="0" xfId="0" applyFont="1" applyFill="1" applyAlignment="1" applyProtection="1">
      <alignment vertical="center" wrapText="1"/>
      <protection hidden="1"/>
    </xf>
    <xf numFmtId="0" fontId="23" fillId="3" borderId="0" xfId="0" applyFont="1" applyFill="1" applyAlignment="1" applyProtection="1">
      <alignment horizontal="center" vertical="center"/>
      <protection hidden="1"/>
    </xf>
    <xf numFmtId="0" fontId="37" fillId="3" borderId="229" xfId="0" applyFont="1" applyFill="1" applyBorder="1" applyAlignment="1" applyProtection="1">
      <alignment horizontal="left" vertical="center"/>
      <protection hidden="1"/>
    </xf>
    <xf numFmtId="0" fontId="0" fillId="3" borderId="229" xfId="0" applyFill="1" applyBorder="1" applyAlignment="1" applyProtection="1">
      <alignment vertical="center"/>
      <protection hidden="1"/>
    </xf>
    <xf numFmtId="175" fontId="104" fillId="9" borderId="212" xfId="0" applyNumberFormat="1" applyFont="1" applyFill="1" applyBorder="1" applyAlignment="1" applyProtection="1">
      <alignment horizontal="center" vertical="center"/>
      <protection hidden="1"/>
    </xf>
    <xf numFmtId="175" fontId="104" fillId="10" borderId="212" xfId="0" applyNumberFormat="1" applyFont="1" applyFill="1" applyBorder="1" applyAlignment="1" applyProtection="1">
      <alignment horizontal="center" vertical="center"/>
      <protection hidden="1"/>
    </xf>
    <xf numFmtId="175" fontId="104" fillId="13" borderId="212" xfId="0" applyNumberFormat="1" applyFont="1" applyFill="1" applyBorder="1" applyAlignment="1" applyProtection="1">
      <alignment horizontal="center" vertical="center"/>
      <protection hidden="1"/>
    </xf>
    <xf numFmtId="175" fontId="104" fillId="9" borderId="210" xfId="0" applyNumberFormat="1" applyFont="1" applyFill="1" applyBorder="1" applyAlignment="1" applyProtection="1">
      <alignment horizontal="center" vertical="center"/>
      <protection hidden="1"/>
    </xf>
    <xf numFmtId="175" fontId="104" fillId="10" borderId="210" xfId="0" applyNumberFormat="1" applyFont="1" applyFill="1" applyBorder="1" applyAlignment="1" applyProtection="1">
      <alignment horizontal="center" vertical="center"/>
      <protection hidden="1"/>
    </xf>
    <xf numFmtId="175" fontId="104" fillId="13" borderId="210" xfId="0" applyNumberFormat="1" applyFont="1" applyFill="1" applyBorder="1" applyAlignment="1" applyProtection="1">
      <alignment horizontal="center" vertical="center"/>
      <protection hidden="1"/>
    </xf>
    <xf numFmtId="0" fontId="107" fillId="3" borderId="0" xfId="4" applyFont="1" applyFill="1" applyBorder="1" applyAlignment="1" applyProtection="1">
      <alignment horizontal="left" vertical="center" wrapText="1"/>
      <protection hidden="1"/>
    </xf>
    <xf numFmtId="0" fontId="8" fillId="3" borderId="9" xfId="0" applyFont="1" applyFill="1" applyBorder="1" applyAlignment="1" applyProtection="1">
      <alignment horizontal="center" vertical="center"/>
      <protection hidden="1"/>
    </xf>
    <xf numFmtId="0" fontId="70" fillId="3" borderId="9" xfId="0" applyFont="1" applyFill="1" applyBorder="1" applyAlignment="1" applyProtection="1">
      <alignment vertical="center"/>
      <protection hidden="1"/>
    </xf>
    <xf numFmtId="0" fontId="8" fillId="3" borderId="9" xfId="0" applyFont="1" applyFill="1" applyBorder="1" applyAlignment="1" applyProtection="1">
      <alignment horizontal="right" vertical="center"/>
      <protection hidden="1"/>
    </xf>
    <xf numFmtId="3" fontId="8" fillId="3" borderId="9" xfId="0" applyNumberFormat="1" applyFont="1" applyFill="1" applyBorder="1" applyAlignment="1" applyProtection="1">
      <alignment vertical="center"/>
      <protection hidden="1"/>
    </xf>
    <xf numFmtId="8" fontId="8" fillId="3" borderId="9" xfId="0" applyNumberFormat="1" applyFont="1" applyFill="1" applyBorder="1" applyAlignment="1" applyProtection="1">
      <alignment vertical="center"/>
      <protection hidden="1"/>
    </xf>
    <xf numFmtId="3" fontId="70" fillId="3" borderId="9" xfId="0" applyNumberFormat="1" applyFont="1" applyFill="1" applyBorder="1" applyAlignment="1" applyProtection="1">
      <alignment horizontal="right" vertical="center"/>
      <protection hidden="1"/>
    </xf>
    <xf numFmtId="0" fontId="2" fillId="4" borderId="287" xfId="0" applyFont="1" applyFill="1" applyBorder="1" applyAlignment="1" applyProtection="1">
      <alignment vertical="center"/>
      <protection hidden="1"/>
    </xf>
    <xf numFmtId="0" fontId="2" fillId="4" borderId="9" xfId="3" applyFont="1" applyFill="1" applyBorder="1" applyProtection="1">
      <alignment horizontal="left" vertical="center" indent="1"/>
      <protection hidden="1"/>
    </xf>
    <xf numFmtId="0" fontId="2" fillId="4" borderId="9" xfId="0" applyFont="1" applyFill="1" applyBorder="1" applyAlignment="1" applyProtection="1">
      <alignment vertical="center"/>
      <protection hidden="1"/>
    </xf>
    <xf numFmtId="0" fontId="2" fillId="4" borderId="288" xfId="0" applyFont="1" applyFill="1" applyBorder="1" applyAlignment="1" applyProtection="1">
      <alignment vertical="center"/>
      <protection hidden="1"/>
    </xf>
    <xf numFmtId="0" fontId="0" fillId="3" borderId="244" xfId="0" applyFill="1" applyBorder="1" applyAlignment="1" applyProtection="1">
      <alignment vertical="center"/>
      <protection hidden="1"/>
    </xf>
    <xf numFmtId="0" fontId="8" fillId="3" borderId="194" xfId="0" applyFont="1" applyFill="1" applyBorder="1" applyAlignment="1" applyProtection="1">
      <alignment horizontal="center" vertical="center"/>
      <protection hidden="1"/>
    </xf>
    <xf numFmtId="0" fontId="70" fillId="3" borderId="194" xfId="0" applyFont="1" applyFill="1" applyBorder="1" applyAlignment="1" applyProtection="1">
      <alignment vertical="center"/>
      <protection hidden="1"/>
    </xf>
    <xf numFmtId="0" fontId="8" fillId="3" borderId="194" xfId="0" applyFont="1" applyFill="1" applyBorder="1" applyAlignment="1" applyProtection="1">
      <alignment horizontal="right" vertical="center"/>
      <protection hidden="1"/>
    </xf>
    <xf numFmtId="3" fontId="8" fillId="3" borderId="194" xfId="0" applyNumberFormat="1" applyFont="1" applyFill="1" applyBorder="1" applyAlignment="1" applyProtection="1">
      <alignment vertical="center"/>
      <protection hidden="1"/>
    </xf>
    <xf numFmtId="8" fontId="8" fillId="3" borderId="194" xfId="0" applyNumberFormat="1" applyFont="1" applyFill="1" applyBorder="1" applyAlignment="1" applyProtection="1">
      <alignment vertical="center"/>
      <protection hidden="1"/>
    </xf>
    <xf numFmtId="3" fontId="70" fillId="3" borderId="194" xfId="0" applyNumberFormat="1" applyFont="1" applyFill="1" applyBorder="1" applyAlignment="1" applyProtection="1">
      <alignment horizontal="right" vertical="center"/>
      <protection hidden="1"/>
    </xf>
    <xf numFmtId="0" fontId="0" fillId="3" borderId="245" xfId="0" applyFill="1" applyBorder="1" applyAlignment="1" applyProtection="1">
      <alignment vertical="center"/>
      <protection hidden="1"/>
    </xf>
    <xf numFmtId="0" fontId="15" fillId="0" borderId="358" xfId="0" applyFont="1" applyBorder="1" applyAlignment="1" applyProtection="1">
      <alignment horizontal="center" vertical="center"/>
      <protection hidden="1"/>
    </xf>
    <xf numFmtId="9" fontId="15" fillId="3" borderId="265" xfId="4" quotePrefix="1" applyNumberFormat="1" applyFont="1" applyFill="1" applyBorder="1" applyProtection="1">
      <alignment horizontal="right" vertical="center" indent="1"/>
      <protection hidden="1"/>
    </xf>
    <xf numFmtId="9" fontId="15" fillId="3" borderId="265" xfId="4" applyNumberFormat="1" applyFont="1" applyFill="1" applyBorder="1" applyProtection="1">
      <alignment horizontal="right" vertical="center" indent="1"/>
      <protection hidden="1"/>
    </xf>
    <xf numFmtId="3" fontId="15" fillId="3" borderId="265" xfId="3" applyNumberFormat="1" applyFont="1" applyFill="1" applyBorder="1" applyProtection="1">
      <alignment horizontal="left" vertical="center" indent="1"/>
      <protection hidden="1"/>
    </xf>
    <xf numFmtId="3" fontId="79" fillId="3" borderId="246" xfId="4" applyNumberFormat="1" applyFont="1" applyFill="1" applyBorder="1" applyProtection="1">
      <alignment horizontal="right" vertical="center" indent="1"/>
      <protection hidden="1"/>
    </xf>
    <xf numFmtId="0" fontId="27" fillId="3" borderId="77" xfId="0" applyFont="1" applyFill="1" applyBorder="1" applyAlignment="1" applyProtection="1">
      <alignment wrapText="1"/>
      <protection hidden="1"/>
    </xf>
    <xf numFmtId="0" fontId="27" fillId="3" borderId="0" xfId="0" applyFont="1" applyFill="1" applyAlignment="1" applyProtection="1">
      <alignment wrapText="1"/>
      <protection hidden="1"/>
    </xf>
    <xf numFmtId="0" fontId="0" fillId="3" borderId="0" xfId="0" applyFill="1" applyAlignment="1" applyProtection="1">
      <alignment vertical="center" wrapText="1"/>
      <protection hidden="1"/>
    </xf>
    <xf numFmtId="0" fontId="0" fillId="3" borderId="253" xfId="0" applyFill="1" applyBorder="1" applyAlignment="1" applyProtection="1">
      <alignment vertical="center"/>
      <protection hidden="1"/>
    </xf>
    <xf numFmtId="0" fontId="104" fillId="3" borderId="253" xfId="0" applyFont="1" applyFill="1" applyBorder="1" applyAlignment="1" applyProtection="1">
      <alignment vertical="center"/>
      <protection hidden="1"/>
    </xf>
    <xf numFmtId="0" fontId="86" fillId="3" borderId="0" xfId="4" applyFont="1" applyFill="1" applyBorder="1" applyAlignment="1" applyProtection="1">
      <alignment vertical="center" wrapText="1"/>
      <protection hidden="1"/>
    </xf>
    <xf numFmtId="6" fontId="107" fillId="3" borderId="0" xfId="4" applyNumberFormat="1" applyFont="1" applyFill="1" applyBorder="1" applyAlignment="1" applyProtection="1">
      <alignment horizontal="center" vertical="center"/>
      <protection hidden="1"/>
    </xf>
    <xf numFmtId="0" fontId="107" fillId="3" borderId="0" xfId="4" applyFont="1" applyFill="1" applyBorder="1" applyAlignment="1" applyProtection="1">
      <alignment horizontal="center" vertical="center"/>
      <protection hidden="1"/>
    </xf>
    <xf numFmtId="0" fontId="107" fillId="3" borderId="0" xfId="0" applyFont="1" applyFill="1" applyAlignment="1" applyProtection="1">
      <alignment horizontal="center" vertical="center"/>
      <protection hidden="1"/>
    </xf>
    <xf numFmtId="0" fontId="107" fillId="3" borderId="18" xfId="4" applyFont="1" applyFill="1" applyBorder="1" applyAlignment="1" applyProtection="1">
      <alignment horizontal="left" vertical="center" wrapText="1"/>
      <protection hidden="1"/>
    </xf>
    <xf numFmtId="6" fontId="107" fillId="3" borderId="18" xfId="4" applyNumberFormat="1" applyFont="1" applyFill="1" applyBorder="1" applyAlignment="1" applyProtection="1">
      <alignment horizontal="center" vertical="center"/>
      <protection hidden="1"/>
    </xf>
    <xf numFmtId="0" fontId="107" fillId="3" borderId="18" xfId="4" applyFont="1" applyFill="1" applyBorder="1" applyAlignment="1" applyProtection="1">
      <alignment horizontal="center" vertical="center"/>
      <protection hidden="1"/>
    </xf>
    <xf numFmtId="6" fontId="107" fillId="3" borderId="18" xfId="0" applyNumberFormat="1" applyFont="1" applyFill="1" applyBorder="1" applyAlignment="1" applyProtection="1">
      <alignment horizontal="center" vertical="center"/>
      <protection hidden="1"/>
    </xf>
    <xf numFmtId="0" fontId="107" fillId="3" borderId="18" xfId="0" applyFont="1" applyFill="1" applyBorder="1" applyAlignment="1" applyProtection="1">
      <alignment horizontal="center" vertical="center"/>
      <protection hidden="1"/>
    </xf>
    <xf numFmtId="6" fontId="15" fillId="3" borderId="7" xfId="4" applyNumberFormat="1" applyFont="1" applyFill="1" applyBorder="1" applyAlignment="1" applyProtection="1">
      <alignment horizontal="right" vertical="center" wrapText="1" indent="1"/>
      <protection hidden="1"/>
    </xf>
    <xf numFmtId="0" fontId="15" fillId="3" borderId="0" xfId="4" applyFont="1" applyFill="1" applyBorder="1" applyAlignment="1" applyProtection="1">
      <alignment vertical="center"/>
      <protection hidden="1"/>
    </xf>
    <xf numFmtId="6" fontId="15" fillId="3" borderId="77" xfId="4" applyNumberFormat="1" applyFont="1" applyFill="1" applyBorder="1" applyAlignment="1" applyProtection="1">
      <alignment vertical="center" wrapText="1"/>
      <protection hidden="1"/>
    </xf>
    <xf numFmtId="0" fontId="15" fillId="3" borderId="0" xfId="4" applyFont="1" applyFill="1" applyBorder="1" applyAlignment="1" applyProtection="1">
      <alignment vertical="center" wrapText="1"/>
      <protection hidden="1"/>
    </xf>
    <xf numFmtId="0" fontId="0" fillId="3" borderId="0" xfId="0" applyFill="1" applyAlignment="1" applyProtection="1">
      <alignment horizontal="left" vertical="center" indent="1"/>
      <protection hidden="1"/>
    </xf>
    <xf numFmtId="164" fontId="0" fillId="6" borderId="230" xfId="0" applyNumberFormat="1" applyFill="1" applyBorder="1" applyAlignment="1" applyProtection="1">
      <alignment horizontal="center" vertical="center"/>
      <protection locked="0" hidden="1"/>
    </xf>
    <xf numFmtId="175" fontId="104" fillId="9" borderId="230" xfId="0" applyNumberFormat="1" applyFont="1" applyFill="1" applyBorder="1" applyAlignment="1" applyProtection="1">
      <alignment horizontal="center" vertical="center"/>
      <protection hidden="1"/>
    </xf>
    <xf numFmtId="175" fontId="104" fillId="10" borderId="230" xfId="0" applyNumberFormat="1" applyFont="1" applyFill="1" applyBorder="1" applyAlignment="1" applyProtection="1">
      <alignment horizontal="center" vertical="center"/>
      <protection hidden="1"/>
    </xf>
    <xf numFmtId="175" fontId="104" fillId="13" borderId="230" xfId="0" applyNumberFormat="1" applyFont="1" applyFill="1" applyBorder="1" applyAlignment="1" applyProtection="1">
      <alignment horizontal="center" vertical="center"/>
      <protection hidden="1"/>
    </xf>
    <xf numFmtId="164" fontId="0" fillId="6" borderId="215" xfId="0" applyNumberFormat="1" applyFill="1" applyBorder="1" applyAlignment="1" applyProtection="1">
      <alignment horizontal="center" vertical="center"/>
      <protection locked="0" hidden="1"/>
    </xf>
    <xf numFmtId="0" fontId="0" fillId="9" borderId="86" xfId="0" applyFill="1" applyBorder="1" applyAlignment="1">
      <alignment horizontal="center" vertical="center"/>
    </xf>
    <xf numFmtId="0" fontId="0" fillId="9" borderId="85" xfId="0" applyFill="1" applyBorder="1" applyAlignment="1">
      <alignment horizontal="center" vertical="center"/>
    </xf>
    <xf numFmtId="0" fontId="0" fillId="9" borderId="411" xfId="0" applyFill="1" applyBorder="1" applyAlignment="1">
      <alignment horizontal="center" vertical="center"/>
    </xf>
    <xf numFmtId="0" fontId="0" fillId="3" borderId="414" xfId="0" applyFill="1" applyBorder="1" applyAlignment="1">
      <alignment horizontal="center" vertical="center"/>
    </xf>
    <xf numFmtId="0" fontId="0" fillId="3" borderId="84" xfId="0" applyFill="1" applyBorder="1" applyAlignment="1">
      <alignment horizontal="center" vertical="center"/>
    </xf>
    <xf numFmtId="0" fontId="0" fillId="3" borderId="64" xfId="0" applyFill="1" applyBorder="1" applyAlignment="1">
      <alignment horizontal="center" vertical="center"/>
    </xf>
    <xf numFmtId="0" fontId="0" fillId="3" borderId="278" xfId="0" applyFill="1" applyBorder="1" applyAlignment="1" applyProtection="1">
      <alignment horizontal="center" vertical="center"/>
      <protection hidden="1"/>
    </xf>
    <xf numFmtId="164" fontId="0" fillId="6" borderId="279" xfId="4" applyNumberFormat="1" applyFont="1" applyFill="1" applyBorder="1" applyProtection="1">
      <alignment horizontal="right" vertical="center" indent="1"/>
      <protection locked="0" hidden="1"/>
    </xf>
    <xf numFmtId="164" fontId="0" fillId="22" borderId="279" xfId="4" applyNumberFormat="1" applyFont="1" applyFill="1" applyBorder="1" applyProtection="1">
      <alignment horizontal="right" vertical="center" indent="1"/>
      <protection hidden="1"/>
    </xf>
    <xf numFmtId="0" fontId="0" fillId="13" borderId="214" xfId="0" applyFill="1" applyBorder="1" applyAlignment="1" applyProtection="1">
      <alignment vertical="center"/>
      <protection hidden="1"/>
    </xf>
    <xf numFmtId="0" fontId="0" fillId="10" borderId="214" xfId="0" applyFill="1" applyBorder="1" applyAlignment="1" applyProtection="1">
      <alignment vertical="center"/>
      <protection hidden="1"/>
    </xf>
    <xf numFmtId="0" fontId="0" fillId="9" borderId="214" xfId="0" applyFill="1" applyBorder="1" applyAlignment="1" applyProtection="1">
      <alignment vertical="center"/>
      <protection hidden="1"/>
    </xf>
    <xf numFmtId="0" fontId="0" fillId="13" borderId="404" xfId="0" applyFill="1" applyBorder="1" applyAlignment="1" applyProtection="1">
      <alignment vertical="center"/>
      <protection hidden="1"/>
    </xf>
    <xf numFmtId="0" fontId="4" fillId="13" borderId="415" xfId="0" applyFont="1" applyFill="1" applyBorder="1" applyAlignment="1" applyProtection="1">
      <alignment horizontal="left" vertical="center" indent="1"/>
      <protection hidden="1"/>
    </xf>
    <xf numFmtId="0" fontId="0" fillId="13" borderId="415" xfId="0" applyFill="1" applyBorder="1" applyAlignment="1" applyProtection="1">
      <alignment vertical="center"/>
      <protection hidden="1"/>
    </xf>
    <xf numFmtId="0" fontId="4" fillId="10" borderId="196" xfId="0" applyFont="1" applyFill="1" applyBorder="1" applyAlignment="1" applyProtection="1">
      <alignment horizontal="left" vertical="center" indent="1"/>
      <protection hidden="1"/>
    </xf>
    <xf numFmtId="0" fontId="0" fillId="10" borderId="196" xfId="0" applyFill="1" applyBorder="1" applyAlignment="1" applyProtection="1">
      <alignment vertical="center"/>
      <protection hidden="1"/>
    </xf>
    <xf numFmtId="0" fontId="4" fillId="9" borderId="196" xfId="0" applyFont="1" applyFill="1" applyBorder="1" applyAlignment="1" applyProtection="1">
      <alignment horizontal="left" vertical="center"/>
      <protection hidden="1"/>
    </xf>
    <xf numFmtId="0" fontId="0" fillId="9" borderId="196" xfId="0" applyFill="1" applyBorder="1" applyAlignment="1" applyProtection="1">
      <alignment horizontal="center" vertical="center"/>
      <protection hidden="1"/>
    </xf>
    <xf numFmtId="0" fontId="4" fillId="13" borderId="196" xfId="0" applyFont="1" applyFill="1" applyBorder="1" applyAlignment="1" applyProtection="1">
      <alignment horizontal="left" vertical="center" indent="1"/>
      <protection hidden="1"/>
    </xf>
    <xf numFmtId="0" fontId="0" fillId="13" borderId="196" xfId="0" applyFill="1" applyBorder="1" applyAlignment="1" applyProtection="1">
      <alignment vertical="center"/>
      <protection hidden="1"/>
    </xf>
    <xf numFmtId="0" fontId="58" fillId="3" borderId="275" xfId="0" applyFont="1" applyFill="1" applyBorder="1" applyAlignment="1" applyProtection="1">
      <alignment vertical="center"/>
      <protection hidden="1"/>
    </xf>
    <xf numFmtId="0" fontId="58" fillId="3" borderId="256" xfId="0" applyFont="1" applyFill="1" applyBorder="1" applyAlignment="1" applyProtection="1">
      <alignment vertical="center"/>
      <protection hidden="1"/>
    </xf>
    <xf numFmtId="0" fontId="58" fillId="3" borderId="264" xfId="0" applyFont="1" applyFill="1" applyBorder="1" applyAlignment="1" applyProtection="1">
      <alignment vertical="center"/>
      <protection hidden="1"/>
    </xf>
    <xf numFmtId="0" fontId="58" fillId="3" borderId="262" xfId="0" applyFont="1" applyFill="1" applyBorder="1" applyAlignment="1" applyProtection="1">
      <alignment vertical="center"/>
      <protection hidden="1"/>
    </xf>
    <xf numFmtId="0" fontId="58" fillId="3" borderId="265" xfId="0" applyFont="1" applyFill="1" applyBorder="1" applyAlignment="1" applyProtection="1">
      <alignment vertical="center"/>
      <protection hidden="1"/>
    </xf>
    <xf numFmtId="0" fontId="58" fillId="3" borderId="246" xfId="0" applyFont="1" applyFill="1" applyBorder="1" applyAlignment="1" applyProtection="1">
      <alignment vertical="center"/>
      <protection hidden="1"/>
    </xf>
    <xf numFmtId="0" fontId="59" fillId="3" borderId="0" xfId="0" applyFont="1" applyFill="1" applyAlignment="1" applyProtection="1">
      <alignment vertical="center"/>
      <protection hidden="1"/>
    </xf>
    <xf numFmtId="0" fontId="15" fillId="3" borderId="275" xfId="4" applyFont="1" applyFill="1" applyBorder="1" applyProtection="1">
      <alignment horizontal="right" vertical="center" indent="1"/>
      <protection hidden="1"/>
    </xf>
    <xf numFmtId="0" fontId="15" fillId="3" borderId="262" xfId="4" applyFont="1" applyFill="1" applyBorder="1" applyProtection="1">
      <alignment horizontal="right" vertical="center" indent="1"/>
      <protection hidden="1"/>
    </xf>
    <xf numFmtId="0" fontId="37" fillId="3" borderId="0" xfId="0" applyFont="1" applyFill="1" applyAlignment="1" applyProtection="1">
      <alignment horizontal="left" wrapText="1"/>
      <protection hidden="1"/>
    </xf>
    <xf numFmtId="0" fontId="0" fillId="3" borderId="180" xfId="0" applyFill="1" applyBorder="1" applyAlignment="1">
      <alignment horizontal="center" vertical="center"/>
    </xf>
    <xf numFmtId="0" fontId="0" fillId="3" borderId="183" xfId="0" applyFill="1" applyBorder="1" applyAlignment="1">
      <alignment horizontal="center" vertical="center"/>
    </xf>
    <xf numFmtId="0" fontId="0" fillId="9" borderId="182" xfId="0" applyFill="1" applyBorder="1" applyAlignment="1">
      <alignment horizontal="center" vertical="center"/>
    </xf>
    <xf numFmtId="0" fontId="0" fillId="3" borderId="416" xfId="0" applyFill="1" applyBorder="1" applyAlignment="1">
      <alignment horizontal="center" vertical="center"/>
    </xf>
    <xf numFmtId="0" fontId="0" fillId="9" borderId="180" xfId="0" applyFill="1" applyBorder="1" applyAlignment="1">
      <alignment horizontal="center" vertical="center"/>
    </xf>
    <xf numFmtId="9" fontId="0" fillId="3" borderId="183" xfId="1" applyFont="1" applyFill="1" applyBorder="1" applyAlignment="1">
      <alignment horizontal="center" vertical="center"/>
    </xf>
    <xf numFmtId="0" fontId="117" fillId="9" borderId="0" xfId="0" applyFont="1" applyFill="1" applyAlignment="1" applyProtection="1">
      <alignment vertical="center"/>
      <protection hidden="1"/>
    </xf>
    <xf numFmtId="0" fontId="2" fillId="3" borderId="90" xfId="0" applyFont="1" applyFill="1" applyBorder="1" applyAlignment="1">
      <alignment horizontal="center" vertical="center"/>
    </xf>
    <xf numFmtId="0" fontId="2" fillId="3" borderId="88" xfId="0" applyFont="1" applyFill="1" applyBorder="1" applyAlignment="1">
      <alignment horizontal="center" vertical="center"/>
    </xf>
    <xf numFmtId="0" fontId="2" fillId="3" borderId="373" xfId="0" applyFont="1" applyFill="1" applyBorder="1" applyAlignment="1">
      <alignment horizontal="center" vertical="center"/>
    </xf>
    <xf numFmtId="175" fontId="104" fillId="10" borderId="419" xfId="0" applyNumberFormat="1" applyFont="1" applyFill="1" applyBorder="1" applyAlignment="1" applyProtection="1">
      <alignment horizontal="center" vertical="center"/>
      <protection hidden="1"/>
    </xf>
    <xf numFmtId="164" fontId="104" fillId="3" borderId="419" xfId="0" quotePrefix="1" applyNumberFormat="1" applyFont="1" applyFill="1" applyBorder="1" applyAlignment="1" applyProtection="1">
      <alignment horizontal="center" vertical="center"/>
      <protection hidden="1"/>
    </xf>
    <xf numFmtId="175" fontId="104" fillId="9" borderId="421" xfId="0" applyNumberFormat="1" applyFont="1" applyFill="1" applyBorder="1" applyAlignment="1" applyProtection="1">
      <alignment horizontal="center" vertical="center"/>
      <protection hidden="1"/>
    </xf>
    <xf numFmtId="175" fontId="104" fillId="9" borderId="422" xfId="0" applyNumberFormat="1" applyFont="1" applyFill="1" applyBorder="1" applyAlignment="1" applyProtection="1">
      <alignment horizontal="center" vertical="center"/>
      <protection hidden="1"/>
    </xf>
    <xf numFmtId="175" fontId="104" fillId="9" borderId="423" xfId="0" applyNumberFormat="1" applyFont="1" applyFill="1" applyBorder="1" applyAlignment="1" applyProtection="1">
      <alignment horizontal="center" vertical="center"/>
      <protection hidden="1"/>
    </xf>
    <xf numFmtId="175" fontId="104" fillId="9" borderId="424" xfId="0" applyNumberFormat="1" applyFont="1" applyFill="1" applyBorder="1" applyAlignment="1" applyProtection="1">
      <alignment horizontal="center" vertical="center"/>
      <protection hidden="1"/>
    </xf>
    <xf numFmtId="175" fontId="104" fillId="9" borderId="420" xfId="0" applyNumberFormat="1" applyFont="1" applyFill="1" applyBorder="1" applyAlignment="1" applyProtection="1">
      <alignment horizontal="center" vertical="center"/>
      <protection hidden="1"/>
    </xf>
    <xf numFmtId="0" fontId="15" fillId="3" borderId="254" xfId="0" applyFont="1" applyFill="1" applyBorder="1" applyAlignment="1" applyProtection="1">
      <alignment horizontal="center" vertical="center"/>
      <protection hidden="1"/>
    </xf>
    <xf numFmtId="0" fontId="3" fillId="28" borderId="0" xfId="0" applyFont="1" applyFill="1" applyAlignment="1">
      <alignment vertical="center"/>
    </xf>
    <xf numFmtId="3" fontId="15" fillId="0" borderId="253" xfId="3" applyNumberFormat="1" applyFont="1" applyFill="1" applyBorder="1" applyProtection="1">
      <alignment horizontal="left" vertical="center" indent="1"/>
      <protection hidden="1"/>
    </xf>
    <xf numFmtId="3" fontId="15" fillId="0" borderId="0" xfId="3" applyNumberFormat="1" applyFont="1" applyFill="1" applyBorder="1" applyProtection="1">
      <alignment horizontal="left" vertical="center" indent="1"/>
      <protection hidden="1"/>
    </xf>
    <xf numFmtId="0" fontId="3" fillId="3" borderId="0" xfId="3" applyFont="1" applyFill="1" applyBorder="1" applyProtection="1">
      <alignment horizontal="left" vertical="center" indent="1"/>
      <protection hidden="1"/>
    </xf>
    <xf numFmtId="0" fontId="3" fillId="3" borderId="73" xfId="3" applyFont="1" applyFill="1" applyBorder="1" applyProtection="1">
      <alignment horizontal="left" vertical="center" indent="1"/>
      <protection hidden="1"/>
    </xf>
    <xf numFmtId="164" fontId="13" fillId="22" borderId="426" xfId="4" applyNumberFormat="1" applyFont="1" applyFill="1" applyBorder="1" applyProtection="1">
      <alignment horizontal="right" vertical="center" indent="1"/>
      <protection hidden="1"/>
    </xf>
    <xf numFmtId="164" fontId="13" fillId="22" borderId="248" xfId="4" applyNumberFormat="1" applyFont="1" applyFill="1" applyBorder="1" applyProtection="1">
      <alignment horizontal="right" vertical="center" indent="1"/>
      <protection hidden="1"/>
    </xf>
    <xf numFmtId="164" fontId="0" fillId="6" borderId="426" xfId="4" applyNumberFormat="1" applyFont="1" applyFill="1" applyBorder="1" applyProtection="1">
      <alignment horizontal="right" vertical="center" indent="1"/>
      <protection locked="0" hidden="1"/>
    </xf>
    <xf numFmtId="164" fontId="0" fillId="3" borderId="249" xfId="4" applyNumberFormat="1" applyFont="1" applyFill="1" applyBorder="1" applyProtection="1">
      <alignment horizontal="right" vertical="center" indent="1"/>
      <protection hidden="1"/>
    </xf>
    <xf numFmtId="164" fontId="13" fillId="22" borderId="247" xfId="4" applyNumberFormat="1" applyFont="1" applyFill="1" applyBorder="1" applyProtection="1">
      <alignment horizontal="right" vertical="center" indent="1"/>
      <protection hidden="1"/>
    </xf>
    <xf numFmtId="0" fontId="18" fillId="3" borderId="7" xfId="0" applyFont="1" applyFill="1" applyBorder="1" applyAlignment="1" applyProtection="1">
      <alignment horizontal="center" vertical="top"/>
      <protection hidden="1"/>
    </xf>
    <xf numFmtId="0" fontId="77" fillId="3" borderId="0" xfId="3" applyFont="1" applyFill="1" applyBorder="1" applyProtection="1">
      <alignment horizontal="left" vertical="center" indent="1"/>
      <protection hidden="1"/>
    </xf>
    <xf numFmtId="49" fontId="0" fillId="0" borderId="0" xfId="0" applyNumberFormat="1" applyAlignment="1">
      <alignment vertical="center"/>
    </xf>
    <xf numFmtId="0" fontId="0" fillId="0" borderId="83" xfId="0" applyBorder="1" applyAlignment="1">
      <alignment vertical="center"/>
    </xf>
    <xf numFmtId="0" fontId="30" fillId="5" borderId="48" xfId="0" applyFont="1" applyFill="1" applyBorder="1" applyAlignment="1">
      <alignment horizontal="center" vertical="center"/>
    </xf>
    <xf numFmtId="0" fontId="15" fillId="9" borderId="18" xfId="0" applyFont="1" applyFill="1" applyBorder="1" applyAlignment="1" applyProtection="1">
      <alignment horizontal="left" vertical="center"/>
      <protection hidden="1"/>
    </xf>
    <xf numFmtId="176" fontId="120" fillId="22" borderId="450" xfId="0" applyNumberFormat="1" applyFont="1" applyFill="1" applyBorder="1" applyAlignment="1" applyProtection="1">
      <alignment horizontal="right" vertical="center" indent="1"/>
      <protection hidden="1"/>
    </xf>
    <xf numFmtId="0" fontId="15" fillId="9" borderId="72" xfId="0" applyFont="1" applyFill="1" applyBorder="1" applyAlignment="1" applyProtection="1">
      <alignment vertical="center"/>
      <protection hidden="1"/>
    </xf>
    <xf numFmtId="0" fontId="8" fillId="9" borderId="0" xfId="0" applyFont="1" applyFill="1" applyAlignment="1" applyProtection="1">
      <alignment horizontal="left" vertical="center"/>
      <protection hidden="1"/>
    </xf>
    <xf numFmtId="0" fontId="94" fillId="9" borderId="0" xfId="0" applyFont="1" applyFill="1" applyAlignment="1" applyProtection="1">
      <alignment vertical="center"/>
      <protection hidden="1"/>
    </xf>
    <xf numFmtId="0" fontId="94" fillId="9" borderId="0" xfId="4" applyFont="1" applyFill="1" applyBorder="1" applyAlignment="1" applyProtection="1">
      <alignment horizontal="right" vertical="center" indent="3"/>
      <protection hidden="1"/>
    </xf>
    <xf numFmtId="0" fontId="15" fillId="9" borderId="453" xfId="0" applyFont="1" applyFill="1" applyBorder="1" applyAlignment="1" applyProtection="1">
      <alignment vertical="center"/>
      <protection hidden="1"/>
    </xf>
    <xf numFmtId="0" fontId="15" fillId="9" borderId="454" xfId="0" applyFont="1" applyFill="1" applyBorder="1" applyAlignment="1" applyProtection="1">
      <alignment vertical="center"/>
      <protection hidden="1"/>
    </xf>
    <xf numFmtId="0" fontId="15" fillId="9" borderId="455" xfId="0" applyFont="1" applyFill="1" applyBorder="1" applyAlignment="1" applyProtection="1">
      <alignment vertical="center"/>
      <protection hidden="1"/>
    </xf>
    <xf numFmtId="0" fontId="8" fillId="9" borderId="454" xfId="0" applyFont="1" applyFill="1" applyBorder="1" applyAlignment="1" applyProtection="1">
      <alignment horizontal="left" vertical="center"/>
      <protection hidden="1"/>
    </xf>
    <xf numFmtId="0" fontId="94" fillId="9" borderId="0" xfId="3" applyFont="1" applyFill="1" applyBorder="1" applyAlignment="1" applyProtection="1">
      <alignment horizontal="left" vertical="center" indent="5"/>
      <protection hidden="1"/>
    </xf>
    <xf numFmtId="0" fontId="122" fillId="9" borderId="458" xfId="0" applyFont="1" applyFill="1" applyBorder="1" applyAlignment="1" applyProtection="1">
      <alignment horizontal="left" vertical="center"/>
      <protection hidden="1"/>
    </xf>
    <xf numFmtId="0" fontId="122" fillId="9" borderId="460" xfId="0" applyFont="1" applyFill="1" applyBorder="1" applyAlignment="1" applyProtection="1">
      <alignment vertical="center"/>
      <protection hidden="1"/>
    </xf>
    <xf numFmtId="0" fontId="15" fillId="2" borderId="4" xfId="0" applyFont="1" applyFill="1" applyBorder="1" applyAlignment="1" applyProtection="1">
      <alignment vertical="center"/>
      <protection hidden="1"/>
    </xf>
    <xf numFmtId="0" fontId="94" fillId="2" borderId="0" xfId="0" applyFont="1" applyFill="1" applyAlignment="1" applyProtection="1">
      <alignment vertical="center"/>
      <protection hidden="1"/>
    </xf>
    <xf numFmtId="0" fontId="94" fillId="2" borderId="0" xfId="4" applyFont="1" applyFill="1" applyBorder="1" applyAlignment="1" applyProtection="1">
      <alignment horizontal="right" vertical="center" indent="3"/>
      <protection hidden="1"/>
    </xf>
    <xf numFmtId="0" fontId="94" fillId="2" borderId="0" xfId="3" applyFont="1" applyFill="1" applyBorder="1" applyAlignment="1" applyProtection="1">
      <alignment horizontal="left" vertical="center" indent="5"/>
      <protection hidden="1"/>
    </xf>
    <xf numFmtId="0" fontId="15" fillId="2" borderId="5" xfId="0" applyFont="1" applyFill="1" applyBorder="1" applyAlignment="1" applyProtection="1">
      <alignment vertical="center"/>
      <protection hidden="1"/>
    </xf>
    <xf numFmtId="3" fontId="120" fillId="9" borderId="456" xfId="4" applyNumberFormat="1" applyFont="1" applyFill="1" applyBorder="1" applyProtection="1">
      <alignment horizontal="right" vertical="center" indent="1"/>
      <protection hidden="1"/>
    </xf>
    <xf numFmtId="3" fontId="120" fillId="9" borderId="463" xfId="4" applyNumberFormat="1" applyFont="1" applyFill="1" applyBorder="1" applyProtection="1">
      <alignment horizontal="right" vertical="center" indent="1"/>
      <protection hidden="1"/>
    </xf>
    <xf numFmtId="3" fontId="120" fillId="9" borderId="464" xfId="4" applyNumberFormat="1" applyFont="1" applyFill="1" applyBorder="1" applyProtection="1">
      <alignment horizontal="right" vertical="center" indent="1"/>
      <protection hidden="1"/>
    </xf>
    <xf numFmtId="0" fontId="0" fillId="3" borderId="164" xfId="0" applyFill="1" applyBorder="1" applyAlignment="1">
      <alignment horizontal="center" vertical="center"/>
    </xf>
    <xf numFmtId="0" fontId="0" fillId="3" borderId="52" xfId="0" applyFill="1" applyBorder="1" applyAlignment="1">
      <alignment horizontal="center" vertical="center"/>
    </xf>
    <xf numFmtId="0" fontId="0" fillId="9" borderId="457" xfId="0" applyFill="1" applyBorder="1" applyAlignment="1">
      <alignment horizontal="center" vertical="center"/>
    </xf>
    <xf numFmtId="3" fontId="120" fillId="9" borderId="465" xfId="4" applyNumberFormat="1" applyFont="1" applyFill="1" applyBorder="1" applyProtection="1">
      <alignment horizontal="right" vertical="center" indent="1"/>
      <protection hidden="1"/>
    </xf>
    <xf numFmtId="0" fontId="0" fillId="0" borderId="18" xfId="0" applyBorder="1" applyAlignment="1">
      <alignment vertical="center"/>
    </xf>
    <xf numFmtId="0" fontId="0" fillId="3" borderId="457" xfId="0" applyFill="1" applyBorder="1" applyAlignment="1">
      <alignment horizontal="center" vertical="center"/>
    </xf>
    <xf numFmtId="0" fontId="0" fillId="3" borderId="83" xfId="0" applyFill="1" applyBorder="1" applyAlignment="1">
      <alignment horizontal="center" vertical="center"/>
    </xf>
    <xf numFmtId="0" fontId="0" fillId="3" borderId="467" xfId="0" applyFill="1" applyBorder="1" applyAlignment="1">
      <alignment vertical="center"/>
    </xf>
    <xf numFmtId="0" fontId="0" fillId="3" borderId="469" xfId="0" applyFill="1" applyBorder="1" applyAlignment="1">
      <alignment horizontal="center" vertical="center"/>
    </xf>
    <xf numFmtId="0" fontId="0" fillId="3" borderId="89" xfId="0" applyFill="1" applyBorder="1" applyAlignment="1">
      <alignment horizontal="center" vertical="center"/>
    </xf>
    <xf numFmtId="0" fontId="0" fillId="3" borderId="65" xfId="0" applyFill="1" applyBorder="1" applyAlignment="1">
      <alignment vertical="center"/>
    </xf>
    <xf numFmtId="0" fontId="0" fillId="3" borderId="63" xfId="0" applyFill="1" applyBorder="1" applyAlignment="1">
      <alignment vertical="center"/>
    </xf>
    <xf numFmtId="0" fontId="0" fillId="3" borderId="472" xfId="0" applyFill="1" applyBorder="1" applyAlignment="1">
      <alignment vertical="center"/>
    </xf>
    <xf numFmtId="0" fontId="0" fillId="3" borderId="473" xfId="0" applyFill="1" applyBorder="1" applyAlignment="1">
      <alignment vertical="center"/>
    </xf>
    <xf numFmtId="0" fontId="0" fillId="3" borderId="86" xfId="0" applyFill="1" applyBorder="1" applyAlignment="1">
      <alignment horizontal="center" vertical="center"/>
    </xf>
    <xf numFmtId="0" fontId="0" fillId="3" borderId="474" xfId="0" applyFill="1" applyBorder="1" applyAlignment="1">
      <alignment horizontal="center" vertical="center"/>
    </xf>
    <xf numFmtId="0" fontId="0" fillId="3" borderId="88" xfId="0" applyFill="1" applyBorder="1" applyAlignment="1">
      <alignment horizontal="center" vertical="center"/>
    </xf>
    <xf numFmtId="0" fontId="0" fillId="3" borderId="468" xfId="0" applyFill="1" applyBorder="1" applyAlignment="1">
      <alignment horizontal="center" vertical="center"/>
    </xf>
    <xf numFmtId="0" fontId="0" fillId="3" borderId="411" xfId="0" applyFill="1" applyBorder="1" applyAlignment="1">
      <alignment horizontal="center" vertical="center"/>
    </xf>
    <xf numFmtId="0" fontId="0" fillId="3" borderId="90" xfId="0" applyFill="1" applyBorder="1" applyAlignment="1">
      <alignment horizontal="center" vertical="center"/>
    </xf>
    <xf numFmtId="0" fontId="0" fillId="3" borderId="62" xfId="0" applyFill="1" applyBorder="1" applyAlignment="1">
      <alignment horizontal="center" vertical="center"/>
    </xf>
    <xf numFmtId="0" fontId="0" fillId="3" borderId="466" xfId="0" applyFill="1" applyBorder="1" applyAlignment="1">
      <alignment horizontal="center" vertical="center"/>
    </xf>
    <xf numFmtId="0" fontId="0" fillId="9" borderId="466" xfId="0" applyFill="1" applyBorder="1" applyAlignment="1">
      <alignment horizontal="center" vertical="center"/>
    </xf>
    <xf numFmtId="0" fontId="0" fillId="3" borderId="475" xfId="0" applyFill="1" applyBorder="1" applyAlignment="1">
      <alignment horizontal="center" vertical="center"/>
    </xf>
    <xf numFmtId="0" fontId="0" fillId="9" borderId="475" xfId="0" applyFill="1" applyBorder="1" applyAlignment="1">
      <alignment horizontal="center" vertical="center"/>
    </xf>
    <xf numFmtId="2" fontId="15" fillId="9" borderId="475" xfId="0" applyNumberFormat="1" applyFont="1" applyFill="1" applyBorder="1" applyAlignment="1" applyProtection="1">
      <alignment horizontal="center" vertical="center"/>
      <protection hidden="1"/>
    </xf>
    <xf numFmtId="0" fontId="0" fillId="3" borderId="484" xfId="0" applyFill="1" applyBorder="1" applyAlignment="1">
      <alignment horizontal="center" vertical="center"/>
    </xf>
    <xf numFmtId="0" fontId="0" fillId="3" borderId="460" xfId="0" applyFill="1" applyBorder="1" applyAlignment="1">
      <alignment horizontal="center" vertical="center"/>
    </xf>
    <xf numFmtId="0" fontId="0" fillId="3" borderId="486" xfId="0" applyFill="1" applyBorder="1" applyAlignment="1">
      <alignment horizontal="center" vertical="center"/>
    </xf>
    <xf numFmtId="0" fontId="0" fillId="9" borderId="485" xfId="0" applyFill="1" applyBorder="1" applyAlignment="1">
      <alignment horizontal="center" vertical="center"/>
    </xf>
    <xf numFmtId="0" fontId="0" fillId="9" borderId="487" xfId="0" applyFill="1" applyBorder="1" applyAlignment="1">
      <alignment horizontal="center" vertical="center"/>
    </xf>
    <xf numFmtId="0" fontId="15" fillId="22" borderId="488" xfId="0" applyFont="1" applyFill="1" applyBorder="1" applyAlignment="1" applyProtection="1">
      <alignment vertical="center"/>
      <protection hidden="1"/>
    </xf>
    <xf numFmtId="0" fontId="124" fillId="22" borderId="488" xfId="0" applyFont="1" applyFill="1" applyBorder="1" applyAlignment="1" applyProtection="1">
      <alignment horizontal="center" vertical="center"/>
      <protection hidden="1"/>
    </xf>
    <xf numFmtId="0" fontId="15" fillId="11" borderId="66" xfId="0" applyFont="1" applyFill="1" applyBorder="1" applyAlignment="1">
      <alignment horizontal="center" vertical="center"/>
    </xf>
    <xf numFmtId="0" fontId="15" fillId="11" borderId="41" xfId="0" applyFont="1" applyFill="1" applyBorder="1" applyAlignment="1">
      <alignment horizontal="center" vertical="center"/>
    </xf>
    <xf numFmtId="0" fontId="12" fillId="0" borderId="489" xfId="0" applyFont="1" applyBorder="1" applyAlignment="1">
      <alignment horizontal="center" vertical="center"/>
    </xf>
    <xf numFmtId="0" fontId="0" fillId="8" borderId="490" xfId="0" applyFill="1" applyBorder="1" applyAlignment="1">
      <alignment horizontal="center" vertical="center"/>
    </xf>
    <xf numFmtId="0" fontId="12" fillId="0" borderId="491" xfId="0" applyFont="1" applyBorder="1" applyAlignment="1">
      <alignment horizontal="center" vertical="center"/>
    </xf>
    <xf numFmtId="0" fontId="0" fillId="0" borderId="241" xfId="0" applyBorder="1"/>
    <xf numFmtId="0" fontId="110" fillId="3" borderId="0" xfId="3" applyFont="1" applyFill="1" applyBorder="1" applyAlignment="1" applyProtection="1">
      <alignment horizontal="left" vertical="top" indent="1"/>
      <protection hidden="1"/>
    </xf>
    <xf numFmtId="0" fontId="13" fillId="14" borderId="250" xfId="3" applyFont="1" applyFill="1" applyBorder="1" applyAlignment="1" applyProtection="1">
      <alignment vertical="center" shrinkToFit="1"/>
      <protection hidden="1"/>
    </xf>
    <xf numFmtId="0" fontId="13" fillId="14" borderId="251" xfId="3" applyFont="1" applyFill="1" applyBorder="1" applyAlignment="1" applyProtection="1">
      <alignment vertical="center"/>
      <protection hidden="1"/>
    </xf>
    <xf numFmtId="0" fontId="13" fillId="14" borderId="381" xfId="3" applyFont="1" applyFill="1" applyBorder="1" applyAlignment="1" applyProtection="1">
      <alignment vertical="center"/>
      <protection hidden="1"/>
    </xf>
    <xf numFmtId="0" fontId="13" fillId="14" borderId="276" xfId="3" applyFont="1" applyFill="1" applyBorder="1" applyAlignment="1" applyProtection="1">
      <alignment vertical="center"/>
      <protection hidden="1"/>
    </xf>
    <xf numFmtId="0" fontId="13" fillId="14" borderId="270" xfId="3" applyFont="1" applyFill="1" applyBorder="1" applyAlignment="1" applyProtection="1">
      <alignment vertical="center"/>
      <protection hidden="1"/>
    </xf>
    <xf numFmtId="0" fontId="13" fillId="14" borderId="250" xfId="3" applyFont="1" applyFill="1" applyBorder="1" applyAlignment="1" applyProtection="1">
      <alignment vertical="center"/>
      <protection hidden="1"/>
    </xf>
    <xf numFmtId="0" fontId="13" fillId="14" borderId="280" xfId="3" applyFont="1" applyFill="1" applyBorder="1" applyAlignment="1" applyProtection="1">
      <alignment vertical="center" shrinkToFit="1"/>
      <protection hidden="1"/>
    </xf>
    <xf numFmtId="0" fontId="13" fillId="14" borderId="363" xfId="3" applyFont="1" applyFill="1" applyBorder="1" applyAlignment="1" applyProtection="1">
      <alignment vertical="center"/>
      <protection hidden="1"/>
    </xf>
    <xf numFmtId="0" fontId="13" fillId="14" borderId="280" xfId="3" applyFont="1" applyFill="1" applyBorder="1" applyAlignment="1" applyProtection="1">
      <alignment vertical="center"/>
      <protection hidden="1"/>
    </xf>
    <xf numFmtId="0" fontId="13" fillId="14" borderId="270" xfId="3" applyFont="1" applyFill="1" applyBorder="1" applyAlignment="1" applyProtection="1">
      <alignment vertical="center" shrinkToFit="1"/>
      <protection hidden="1"/>
    </xf>
    <xf numFmtId="164" fontId="15" fillId="6" borderId="260" xfId="0" applyNumberFormat="1" applyFont="1" applyFill="1" applyBorder="1" applyAlignment="1" applyProtection="1">
      <alignment horizontal="center" vertical="center"/>
      <protection locked="0"/>
    </xf>
    <xf numFmtId="0" fontId="4" fillId="10" borderId="77" xfId="3" applyFont="1" applyFill="1" applyBorder="1" applyProtection="1">
      <alignment horizontal="left" vertical="center" indent="1"/>
      <protection hidden="1"/>
    </xf>
    <xf numFmtId="0" fontId="13" fillId="3" borderId="0" xfId="0" applyFont="1" applyFill="1" applyAlignment="1" applyProtection="1">
      <alignment vertical="center"/>
      <protection hidden="1"/>
    </xf>
    <xf numFmtId="0" fontId="13" fillId="3" borderId="0" xfId="3" applyFont="1" applyFill="1" applyBorder="1" applyAlignment="1" applyProtection="1">
      <alignment vertical="center"/>
      <protection hidden="1"/>
    </xf>
    <xf numFmtId="0" fontId="101" fillId="9" borderId="502" xfId="3" applyFont="1" applyFill="1" applyBorder="1" applyAlignment="1" applyProtection="1">
      <alignment horizontal="center" vertical="center" wrapText="1" shrinkToFit="1"/>
      <protection hidden="1"/>
    </xf>
    <xf numFmtId="0" fontId="101" fillId="9" borderId="257" xfId="3" applyFont="1" applyFill="1" applyBorder="1" applyAlignment="1" applyProtection="1">
      <alignment horizontal="center" vertical="center" wrapText="1" shrinkToFit="1"/>
      <protection hidden="1"/>
    </xf>
    <xf numFmtId="0" fontId="13" fillId="14" borderId="496" xfId="3" applyFont="1" applyFill="1" applyBorder="1" applyAlignment="1" applyProtection="1">
      <alignment vertical="center"/>
      <protection hidden="1"/>
    </xf>
    <xf numFmtId="0" fontId="13" fillId="14" borderId="498" xfId="0" applyFont="1" applyFill="1" applyBorder="1" applyAlignment="1" applyProtection="1">
      <alignment vertical="center"/>
      <protection hidden="1"/>
    </xf>
    <xf numFmtId="0" fontId="13" fillId="14" borderId="499" xfId="3" applyFont="1" applyFill="1" applyBorder="1" applyAlignment="1" applyProtection="1">
      <alignment vertical="center"/>
      <protection hidden="1"/>
    </xf>
    <xf numFmtId="0" fontId="13" fillId="14" borderId="247" xfId="0" applyFont="1" applyFill="1" applyBorder="1" applyAlignment="1" applyProtection="1">
      <alignment vertical="center"/>
      <protection hidden="1"/>
    </xf>
    <xf numFmtId="0" fontId="13" fillId="14" borderId="260" xfId="0" applyFont="1" applyFill="1" applyBorder="1" applyAlignment="1" applyProtection="1">
      <alignment vertical="center"/>
      <protection hidden="1"/>
    </xf>
    <xf numFmtId="0" fontId="4" fillId="10" borderId="0" xfId="3" applyFont="1" applyFill="1" applyBorder="1" applyProtection="1">
      <alignment horizontal="left" vertical="center" indent="1"/>
      <protection hidden="1"/>
    </xf>
    <xf numFmtId="0" fontId="13" fillId="10" borderId="0" xfId="3" applyFont="1" applyFill="1" applyBorder="1" applyAlignment="1" applyProtection="1">
      <alignment horizontal="center" vertical="center"/>
      <protection hidden="1"/>
    </xf>
    <xf numFmtId="0" fontId="101" fillId="10" borderId="0" xfId="3" applyFont="1" applyFill="1" applyBorder="1" applyAlignment="1" applyProtection="1">
      <alignment horizontal="center" vertical="center"/>
      <protection hidden="1"/>
    </xf>
    <xf numFmtId="0" fontId="101" fillId="10" borderId="0" xfId="3" applyFont="1" applyFill="1" applyBorder="1" applyAlignment="1" applyProtection="1">
      <alignment horizontal="center" vertical="center" wrapText="1"/>
      <protection hidden="1"/>
    </xf>
    <xf numFmtId="0" fontId="13" fillId="14" borderId="248" xfId="0" applyFont="1" applyFill="1" applyBorder="1" applyAlignment="1" applyProtection="1">
      <alignment vertical="center"/>
      <protection hidden="1"/>
    </xf>
    <xf numFmtId="0" fontId="0" fillId="0" borderId="0" xfId="0" applyAlignment="1">
      <alignment horizontal="left" vertical="center" indent="1"/>
    </xf>
    <xf numFmtId="0" fontId="0" fillId="0" borderId="247" xfId="0" applyBorder="1" applyAlignment="1">
      <alignment vertical="center"/>
    </xf>
    <xf numFmtId="0" fontId="0" fillId="0" borderId="91" xfId="0" applyBorder="1" applyAlignment="1">
      <alignment vertical="center"/>
    </xf>
    <xf numFmtId="0" fontId="0" fillId="0" borderId="73" xfId="0" applyBorder="1" applyAlignment="1">
      <alignment vertical="center"/>
    </xf>
    <xf numFmtId="0" fontId="0" fillId="0" borderId="251" xfId="0" applyBorder="1" applyAlignment="1">
      <alignment vertical="center"/>
    </xf>
    <xf numFmtId="0" fontId="0" fillId="0" borderId="260" xfId="0" applyBorder="1" applyAlignment="1">
      <alignment vertical="center"/>
    </xf>
    <xf numFmtId="0" fontId="0" fillId="0" borderId="270" xfId="0" applyBorder="1" applyAlignment="1">
      <alignment vertical="center"/>
    </xf>
    <xf numFmtId="0" fontId="0" fillId="10" borderId="275" xfId="0" applyFill="1" applyBorder="1" applyAlignment="1">
      <alignment vertical="center"/>
    </xf>
    <xf numFmtId="0" fontId="0" fillId="10" borderId="257" xfId="0" applyFill="1" applyBorder="1" applyAlignment="1">
      <alignment vertical="center"/>
    </xf>
    <xf numFmtId="0" fontId="0" fillId="0" borderId="210" xfId="0" applyBorder="1" applyAlignment="1">
      <alignment horizontal="center" vertical="center"/>
    </xf>
    <xf numFmtId="0" fontId="0" fillId="0" borderId="504" xfId="0" applyBorder="1" applyAlignment="1">
      <alignment horizontal="center" vertical="center"/>
    </xf>
    <xf numFmtId="0" fontId="0" fillId="0" borderId="220" xfId="0" applyBorder="1" applyAlignment="1">
      <alignment horizontal="center" vertical="center"/>
    </xf>
    <xf numFmtId="0" fontId="0" fillId="0" borderId="505" xfId="0" applyBorder="1" applyAlignment="1">
      <alignment horizontal="center" vertical="center"/>
    </xf>
    <xf numFmtId="0" fontId="101" fillId="9" borderId="503" xfId="4" applyFont="1" applyFill="1" applyBorder="1" applyAlignment="1" applyProtection="1">
      <alignment horizontal="center" vertical="center"/>
    </xf>
    <xf numFmtId="0" fontId="101" fillId="9" borderId="501" xfId="4" applyFont="1" applyFill="1" applyBorder="1" applyAlignment="1" applyProtection="1">
      <alignment horizontal="center" vertical="center"/>
    </xf>
    <xf numFmtId="0" fontId="13" fillId="14" borderId="492" xfId="4" applyFont="1" applyFill="1" applyBorder="1" applyAlignment="1" applyProtection="1">
      <alignment vertical="center"/>
    </xf>
    <xf numFmtId="0" fontId="101" fillId="9" borderId="255" xfId="4" applyFont="1" applyFill="1" applyBorder="1" applyAlignment="1" applyProtection="1">
      <alignment horizontal="center" vertical="center"/>
    </xf>
    <xf numFmtId="0" fontId="101" fillId="9" borderId="275" xfId="4" applyFont="1" applyFill="1" applyBorder="1" applyAlignment="1" applyProtection="1">
      <alignment horizontal="center" vertical="center"/>
    </xf>
    <xf numFmtId="0" fontId="0" fillId="3" borderId="509" xfId="0" applyFill="1" applyBorder="1" applyAlignment="1" applyProtection="1">
      <alignment vertical="center"/>
      <protection hidden="1"/>
    </xf>
    <xf numFmtId="0" fontId="0" fillId="3" borderId="510" xfId="0" applyFill="1" applyBorder="1" applyAlignment="1" applyProtection="1">
      <alignment vertical="center"/>
      <protection hidden="1"/>
    </xf>
    <xf numFmtId="0" fontId="0" fillId="3" borderId="511" xfId="0" applyFill="1" applyBorder="1" applyAlignment="1" applyProtection="1">
      <alignment vertical="center"/>
      <protection hidden="1"/>
    </xf>
    <xf numFmtId="0" fontId="0" fillId="3" borderId="512" xfId="0" applyFill="1" applyBorder="1" applyAlignment="1" applyProtection="1">
      <alignment vertical="center"/>
      <protection hidden="1"/>
    </xf>
    <xf numFmtId="0" fontId="38" fillId="9" borderId="252" xfId="0" applyFont="1" applyFill="1" applyBorder="1" applyAlignment="1" applyProtection="1">
      <alignment vertical="center" wrapText="1"/>
      <protection hidden="1"/>
    </xf>
    <xf numFmtId="0" fontId="38" fillId="9" borderId="513" xfId="0" applyFont="1" applyFill="1" applyBorder="1" applyAlignment="1" applyProtection="1">
      <alignment vertical="center" wrapText="1"/>
      <protection hidden="1"/>
    </xf>
    <xf numFmtId="0" fontId="72" fillId="9" borderId="246" xfId="0" applyFont="1" applyFill="1" applyBorder="1" applyAlignment="1" applyProtection="1">
      <alignment vertical="center"/>
      <protection hidden="1"/>
    </xf>
    <xf numFmtId="0" fontId="72" fillId="9" borderId="265" xfId="0" applyFont="1" applyFill="1" applyBorder="1" applyAlignment="1" applyProtection="1">
      <alignment horizontal="left" vertical="center"/>
      <protection hidden="1"/>
    </xf>
    <xf numFmtId="0" fontId="129" fillId="3" borderId="0" xfId="0" applyFont="1" applyFill="1" applyAlignment="1" applyProtection="1">
      <alignment vertical="center"/>
      <protection hidden="1"/>
    </xf>
    <xf numFmtId="0" fontId="72" fillId="9" borderId="252" xfId="0" applyFont="1" applyFill="1" applyBorder="1" applyAlignment="1" applyProtection="1">
      <alignment vertical="top"/>
      <protection hidden="1"/>
    </xf>
    <xf numFmtId="0" fontId="72" fillId="9" borderId="0" xfId="0" applyFont="1" applyFill="1" applyAlignment="1" applyProtection="1">
      <alignment vertical="top"/>
      <protection hidden="1"/>
    </xf>
    <xf numFmtId="0" fontId="72" fillId="9" borderId="252" xfId="0" applyFont="1" applyFill="1" applyBorder="1" applyProtection="1">
      <protection hidden="1"/>
    </xf>
    <xf numFmtId="0" fontId="112" fillId="3" borderId="0" xfId="0" applyFont="1" applyFill="1" applyAlignment="1" applyProtection="1">
      <alignment horizontal="left" vertical="center"/>
      <protection hidden="1"/>
    </xf>
    <xf numFmtId="0" fontId="35" fillId="3" borderId="0" xfId="0" applyFont="1" applyFill="1" applyAlignment="1" applyProtection="1">
      <alignment vertical="center"/>
      <protection hidden="1"/>
    </xf>
    <xf numFmtId="0" fontId="130" fillId="3" borderId="0" xfId="0" applyFont="1" applyFill="1" applyAlignment="1" applyProtection="1">
      <alignment vertical="center"/>
      <protection hidden="1"/>
    </xf>
    <xf numFmtId="0" fontId="0" fillId="0" borderId="235" xfId="0" applyBorder="1" applyAlignment="1">
      <alignment horizontal="center" vertical="center"/>
    </xf>
    <xf numFmtId="0" fontId="32" fillId="0" borderId="235" xfId="0" applyFont="1" applyBorder="1" applyAlignment="1">
      <alignment horizontal="center" vertical="center"/>
    </xf>
    <xf numFmtId="0" fontId="94" fillId="9" borderId="253" xfId="0" quotePrefix="1" applyFont="1" applyFill="1" applyBorder="1" applyAlignment="1" applyProtection="1">
      <alignment horizontal="center" vertical="center" wrapText="1"/>
      <protection hidden="1"/>
    </xf>
    <xf numFmtId="0" fontId="94" fillId="9" borderId="0" xfId="0" quotePrefix="1" applyFont="1" applyFill="1" applyAlignment="1" applyProtection="1">
      <alignment horizontal="center" vertical="center" wrapText="1"/>
      <protection hidden="1"/>
    </xf>
    <xf numFmtId="0" fontId="49" fillId="27" borderId="0" xfId="0" applyFont="1" applyFill="1" applyAlignment="1" applyProtection="1">
      <alignment horizontal="center" vertical="center" wrapText="1"/>
      <protection hidden="1"/>
    </xf>
    <xf numFmtId="0" fontId="33" fillId="16" borderId="0" xfId="0" applyFont="1" applyFill="1" applyAlignment="1" applyProtection="1">
      <alignment horizontal="center" wrapText="1"/>
      <protection hidden="1"/>
    </xf>
    <xf numFmtId="0" fontId="95" fillId="16" borderId="0" xfId="0" applyFont="1" applyFill="1" applyAlignment="1" applyProtection="1">
      <alignment horizontal="center" vertical="center"/>
      <protection hidden="1"/>
    </xf>
    <xf numFmtId="0" fontId="57" fillId="16" borderId="0" xfId="0" applyFont="1" applyFill="1" applyAlignment="1" applyProtection="1">
      <alignment horizontal="center" vertical="center" wrapText="1"/>
      <protection hidden="1"/>
    </xf>
    <xf numFmtId="0" fontId="57" fillId="16" borderId="0" xfId="0" applyFont="1" applyFill="1" applyAlignment="1" applyProtection="1">
      <alignment horizontal="center" vertical="center"/>
      <protection hidden="1"/>
    </xf>
    <xf numFmtId="0" fontId="0" fillId="6" borderId="235" xfId="0" applyFill="1" applyBorder="1" applyAlignment="1" applyProtection="1">
      <alignment horizontal="center" vertical="center"/>
      <protection locked="0"/>
    </xf>
    <xf numFmtId="0" fontId="0" fillId="7" borderId="235" xfId="0" applyFill="1" applyBorder="1" applyAlignment="1" applyProtection="1">
      <alignment horizontal="center" vertical="center"/>
      <protection locked="0" hidden="1"/>
    </xf>
    <xf numFmtId="0" fontId="30" fillId="20" borderId="235" xfId="0" applyFont="1" applyFill="1" applyBorder="1" applyAlignment="1" applyProtection="1">
      <alignment horizontal="center" vertical="center"/>
      <protection hidden="1"/>
    </xf>
    <xf numFmtId="0" fontId="0" fillId="8" borderId="128" xfId="0" applyFill="1" applyBorder="1" applyAlignment="1" applyProtection="1">
      <alignment horizontal="center" vertical="center"/>
      <protection hidden="1"/>
    </xf>
    <xf numFmtId="0" fontId="0" fillId="8" borderId="129" xfId="0" applyFill="1" applyBorder="1" applyAlignment="1" applyProtection="1">
      <alignment horizontal="center" vertical="center"/>
      <protection hidden="1"/>
    </xf>
    <xf numFmtId="0" fontId="75" fillId="22" borderId="128" xfId="0" applyFont="1" applyFill="1" applyBorder="1" applyAlignment="1" applyProtection="1">
      <alignment horizontal="center" vertical="center"/>
      <protection hidden="1"/>
    </xf>
    <xf numFmtId="0" fontId="75" fillId="22" borderId="129" xfId="0" applyFont="1" applyFill="1" applyBorder="1" applyAlignment="1" applyProtection="1">
      <alignment horizontal="center" vertical="center"/>
      <protection hidden="1"/>
    </xf>
    <xf numFmtId="0" fontId="38" fillId="9" borderId="0" xfId="0" applyFont="1" applyFill="1" applyAlignment="1" applyProtection="1">
      <alignment horizontal="left" vertical="top" wrapText="1"/>
      <protection hidden="1"/>
    </xf>
    <xf numFmtId="0" fontId="101" fillId="9" borderId="265" xfId="2" applyFont="1" applyFill="1" applyBorder="1" applyAlignment="1">
      <alignment horizontal="center" vertical="center"/>
    </xf>
    <xf numFmtId="0" fontId="88" fillId="3" borderId="335" xfId="3" applyFont="1" applyFill="1" applyBorder="1" applyAlignment="1" applyProtection="1">
      <alignment horizontal="left" vertical="center" wrapText="1" indent="1"/>
      <protection hidden="1"/>
    </xf>
    <xf numFmtId="0" fontId="88" fillId="3" borderId="329" xfId="3" applyFont="1" applyFill="1" applyBorder="1" applyAlignment="1" applyProtection="1">
      <alignment horizontal="left" vertical="center" wrapText="1" indent="1"/>
      <protection hidden="1"/>
    </xf>
    <xf numFmtId="0" fontId="88" fillId="3" borderId="318" xfId="3" applyFont="1" applyFill="1" applyBorder="1" applyAlignment="1" applyProtection="1">
      <alignment horizontal="left" vertical="center" wrapText="1" indent="1"/>
      <protection hidden="1"/>
    </xf>
    <xf numFmtId="0" fontId="4" fillId="3" borderId="319" xfId="3" applyFont="1" applyFill="1" applyBorder="1" applyAlignment="1" applyProtection="1">
      <alignment horizontal="left" vertical="center" wrapText="1" indent="1"/>
      <protection hidden="1"/>
    </xf>
    <xf numFmtId="0" fontId="4" fillId="3" borderId="314" xfId="3" applyFont="1" applyFill="1" applyBorder="1" applyAlignment="1" applyProtection="1">
      <alignment horizontal="left" vertical="center" wrapText="1" indent="1"/>
      <protection hidden="1"/>
    </xf>
    <xf numFmtId="0" fontId="4" fillId="3" borderId="313" xfId="3" applyFont="1" applyFill="1" applyBorder="1" applyAlignment="1" applyProtection="1">
      <alignment horizontal="left" vertical="center" wrapText="1" indent="1"/>
      <protection hidden="1"/>
    </xf>
    <xf numFmtId="0" fontId="88" fillId="0" borderId="317" xfId="3" applyFont="1" applyFill="1" applyBorder="1" applyAlignment="1" applyProtection="1">
      <alignment horizontal="center" vertical="center" wrapText="1"/>
      <protection hidden="1"/>
    </xf>
    <xf numFmtId="0" fontId="88" fillId="0" borderId="329" xfId="3" applyFont="1" applyFill="1" applyBorder="1" applyAlignment="1" applyProtection="1">
      <alignment horizontal="center" vertical="center" wrapText="1"/>
      <protection hidden="1"/>
    </xf>
    <xf numFmtId="0" fontId="88" fillId="0" borderId="330" xfId="3" applyFont="1" applyFill="1" applyBorder="1" applyAlignment="1" applyProtection="1">
      <alignment horizontal="center" vertical="center" wrapText="1"/>
      <protection hidden="1"/>
    </xf>
    <xf numFmtId="0" fontId="4" fillId="3" borderId="312" xfId="3" applyFont="1" applyFill="1" applyBorder="1" applyAlignment="1" applyProtection="1">
      <alignment horizontal="center" vertical="center"/>
      <protection hidden="1"/>
    </xf>
    <xf numFmtId="0" fontId="4" fillId="3" borderId="314" xfId="3" applyFont="1" applyFill="1" applyBorder="1" applyAlignment="1" applyProtection="1">
      <alignment horizontal="center" vertical="center"/>
      <protection hidden="1"/>
    </xf>
    <xf numFmtId="0" fontId="4" fillId="3" borderId="320" xfId="3" applyFont="1" applyFill="1" applyBorder="1" applyAlignment="1" applyProtection="1">
      <alignment horizontal="center" vertical="center"/>
      <protection hidden="1"/>
    </xf>
    <xf numFmtId="0" fontId="48" fillId="3" borderId="326" xfId="3" applyFont="1" applyFill="1" applyBorder="1" applyProtection="1">
      <alignment horizontal="left" vertical="center" indent="1"/>
      <protection hidden="1"/>
    </xf>
    <xf numFmtId="0" fontId="48" fillId="3" borderId="327" xfId="3" applyFont="1" applyFill="1" applyBorder="1" applyProtection="1">
      <alignment horizontal="left" vertical="center" indent="1"/>
      <protection hidden="1"/>
    </xf>
    <xf numFmtId="0" fontId="48" fillId="3" borderId="328" xfId="3" applyFont="1" applyFill="1" applyBorder="1" applyProtection="1">
      <alignment horizontal="left" vertical="center" indent="1"/>
      <protection hidden="1"/>
    </xf>
    <xf numFmtId="0" fontId="48" fillId="3" borderId="309" xfId="3" applyFont="1" applyFill="1" applyBorder="1" applyProtection="1">
      <alignment horizontal="left" vertical="center" indent="1"/>
      <protection hidden="1"/>
    </xf>
    <xf numFmtId="0" fontId="48" fillId="3" borderId="310" xfId="3" applyFont="1" applyFill="1" applyBorder="1" applyProtection="1">
      <alignment horizontal="left" vertical="center" indent="1"/>
      <protection hidden="1"/>
    </xf>
    <xf numFmtId="0" fontId="48" fillId="3" borderId="311" xfId="3" applyFont="1" applyFill="1" applyBorder="1" applyProtection="1">
      <alignment horizontal="left" vertical="center" indent="1"/>
      <protection hidden="1"/>
    </xf>
    <xf numFmtId="0" fontId="4" fillId="3" borderId="317" xfId="0" applyFont="1" applyFill="1" applyBorder="1" applyAlignment="1" applyProtection="1">
      <alignment horizontal="center" vertical="center"/>
      <protection hidden="1"/>
    </xf>
    <xf numFmtId="0" fontId="4" fillId="3" borderId="318" xfId="0" applyFont="1" applyFill="1" applyBorder="1" applyAlignment="1" applyProtection="1">
      <alignment horizontal="center" vertical="center"/>
      <protection hidden="1"/>
    </xf>
    <xf numFmtId="0" fontId="4" fillId="3" borderId="329" xfId="0" applyFont="1" applyFill="1" applyBorder="1" applyAlignment="1" applyProtection="1">
      <alignment horizontal="center" vertical="center"/>
      <protection hidden="1"/>
    </xf>
    <xf numFmtId="0" fontId="4" fillId="3" borderId="330" xfId="0" applyFont="1" applyFill="1" applyBorder="1" applyAlignment="1" applyProtection="1">
      <alignment horizontal="center" vertical="center"/>
      <protection hidden="1"/>
    </xf>
    <xf numFmtId="0" fontId="48" fillId="3" borderId="333" xfId="0" applyFont="1" applyFill="1" applyBorder="1" applyAlignment="1" applyProtection="1">
      <alignment horizontal="left" vertical="top" wrapText="1" indent="1"/>
      <protection hidden="1"/>
    </xf>
    <xf numFmtId="0" fontId="48" fillId="3" borderId="327" xfId="0" applyFont="1" applyFill="1" applyBorder="1" applyAlignment="1" applyProtection="1">
      <alignment horizontal="left" vertical="top" indent="1"/>
      <protection hidden="1"/>
    </xf>
    <xf numFmtId="0" fontId="48" fillId="3" borderId="334" xfId="0" applyFont="1" applyFill="1" applyBorder="1" applyAlignment="1" applyProtection="1">
      <alignment horizontal="left" vertical="top" indent="1"/>
      <protection hidden="1"/>
    </xf>
    <xf numFmtId="0" fontId="48" fillId="3" borderId="315" xfId="0" applyFont="1" applyFill="1" applyBorder="1" applyAlignment="1" applyProtection="1">
      <alignment horizontal="left" vertical="top" indent="1"/>
      <protection hidden="1"/>
    </xf>
    <xf numFmtId="0" fontId="48" fillId="3" borderId="310" xfId="0" applyFont="1" applyFill="1" applyBorder="1" applyAlignment="1" applyProtection="1">
      <alignment horizontal="left" vertical="top" indent="1"/>
      <protection hidden="1"/>
    </xf>
    <xf numFmtId="0" fontId="48" fillId="3" borderId="316" xfId="0" applyFont="1" applyFill="1" applyBorder="1" applyAlignment="1" applyProtection="1">
      <alignment horizontal="left" vertical="top" indent="1"/>
      <protection hidden="1"/>
    </xf>
    <xf numFmtId="0" fontId="0" fillId="3" borderId="312" xfId="0" applyFill="1" applyBorder="1" applyAlignment="1" applyProtection="1">
      <alignment horizontal="center" vertical="center"/>
      <protection hidden="1"/>
    </xf>
    <xf numFmtId="0" fontId="0" fillId="3" borderId="313" xfId="0" applyFill="1" applyBorder="1" applyAlignment="1" applyProtection="1">
      <alignment horizontal="center" vertical="center"/>
      <protection hidden="1"/>
    </xf>
    <xf numFmtId="0" fontId="0" fillId="3" borderId="314" xfId="0" applyFill="1" applyBorder="1" applyAlignment="1" applyProtection="1">
      <alignment horizontal="center" vertical="center"/>
      <protection hidden="1"/>
    </xf>
    <xf numFmtId="0" fontId="0" fillId="3" borderId="320" xfId="0" applyFill="1" applyBorder="1" applyAlignment="1" applyProtection="1">
      <alignment horizontal="center" vertical="center"/>
      <protection hidden="1"/>
    </xf>
    <xf numFmtId="0" fontId="0" fillId="3" borderId="306" xfId="0" applyFill="1" applyBorder="1" applyAlignment="1" applyProtection="1">
      <alignment horizontal="center" vertical="center"/>
      <protection hidden="1"/>
    </xf>
    <xf numFmtId="0" fontId="0" fillId="3" borderId="129" xfId="0" applyFill="1" applyBorder="1" applyAlignment="1" applyProtection="1">
      <alignment horizontal="center" vertical="center"/>
      <protection hidden="1"/>
    </xf>
    <xf numFmtId="0" fontId="0" fillId="3" borderId="128" xfId="0" applyFill="1" applyBorder="1" applyAlignment="1" applyProtection="1">
      <alignment horizontal="center" vertical="center"/>
      <protection hidden="1"/>
    </xf>
    <xf numFmtId="0" fontId="0" fillId="3" borderId="133" xfId="0" applyFill="1" applyBorder="1" applyAlignment="1" applyProtection="1">
      <alignment horizontal="center" vertical="center"/>
      <protection hidden="1"/>
    </xf>
    <xf numFmtId="0" fontId="0" fillId="3" borderId="305" xfId="0" applyFill="1" applyBorder="1" applyAlignment="1" applyProtection="1">
      <alignment horizontal="center" vertical="center"/>
      <protection hidden="1"/>
    </xf>
    <xf numFmtId="0" fontId="48" fillId="3" borderId="322" xfId="3" applyFont="1" applyFill="1" applyBorder="1" applyProtection="1">
      <alignment horizontal="left" vertical="center" indent="1"/>
      <protection hidden="1"/>
    </xf>
    <xf numFmtId="0" fontId="48" fillId="3" borderId="323" xfId="3" applyFont="1" applyFill="1" applyBorder="1" applyProtection="1">
      <alignment horizontal="left" vertical="center" indent="1"/>
      <protection hidden="1"/>
    </xf>
    <xf numFmtId="0" fontId="48" fillId="3" borderId="324" xfId="3" applyFont="1" applyFill="1" applyBorder="1" applyProtection="1">
      <alignment horizontal="left" vertical="center" indent="1"/>
      <protection hidden="1"/>
    </xf>
    <xf numFmtId="0" fontId="0" fillId="3" borderId="319" xfId="0" applyFill="1" applyBorder="1" applyAlignment="1" applyProtection="1">
      <alignment horizontal="center" vertical="center"/>
      <protection hidden="1"/>
    </xf>
    <xf numFmtId="0" fontId="48" fillId="3" borderId="304" xfId="3" applyFont="1" applyFill="1" applyBorder="1" applyProtection="1">
      <alignment horizontal="left" vertical="center" indent="1"/>
      <protection hidden="1"/>
    </xf>
    <xf numFmtId="0" fontId="48" fillId="3" borderId="235" xfId="3" applyFont="1" applyFill="1" applyBorder="1" applyProtection="1">
      <alignment horizontal="left" vertical="center" indent="1"/>
      <protection hidden="1"/>
    </xf>
    <xf numFmtId="0" fontId="48" fillId="3" borderId="321" xfId="3" applyFont="1" applyFill="1" applyBorder="1" applyProtection="1">
      <alignment horizontal="left" vertical="center" indent="1"/>
      <protection hidden="1"/>
    </xf>
    <xf numFmtId="0" fontId="0" fillId="3" borderId="335" xfId="0" applyFill="1" applyBorder="1" applyAlignment="1" applyProtection="1">
      <alignment horizontal="center" vertical="center"/>
      <protection hidden="1"/>
    </xf>
    <xf numFmtId="0" fontId="0" fillId="3" borderId="318" xfId="0" applyFill="1" applyBorder="1" applyAlignment="1" applyProtection="1">
      <alignment horizontal="center" vertical="center"/>
      <protection hidden="1"/>
    </xf>
    <xf numFmtId="0" fontId="0" fillId="3" borderId="317" xfId="0" applyFill="1" applyBorder="1" applyAlignment="1" applyProtection="1">
      <alignment horizontal="center" vertical="center"/>
      <protection hidden="1"/>
    </xf>
    <xf numFmtId="0" fontId="0" fillId="3" borderId="329" xfId="0" applyFill="1" applyBorder="1" applyAlignment="1" applyProtection="1">
      <alignment horizontal="center" vertical="center"/>
      <protection hidden="1"/>
    </xf>
    <xf numFmtId="0" fontId="0" fillId="3" borderId="330" xfId="0" applyFill="1" applyBorder="1" applyAlignment="1" applyProtection="1">
      <alignment horizontal="center" vertical="center"/>
      <protection hidden="1"/>
    </xf>
    <xf numFmtId="0" fontId="48" fillId="3" borderId="301" xfId="3" applyFont="1" applyFill="1" applyBorder="1" applyProtection="1">
      <alignment horizontal="left" vertical="center" indent="1"/>
      <protection hidden="1"/>
    </xf>
    <xf numFmtId="0" fontId="48" fillId="3" borderId="302" xfId="3" applyFont="1" applyFill="1" applyBorder="1" applyProtection="1">
      <alignment horizontal="left" vertical="center" indent="1"/>
      <protection hidden="1"/>
    </xf>
    <xf numFmtId="0" fontId="48" fillId="3" borderId="303" xfId="3" applyFont="1" applyFill="1" applyBorder="1" applyProtection="1">
      <alignment horizontal="left" vertical="center" indent="1"/>
      <protection hidden="1"/>
    </xf>
    <xf numFmtId="0" fontId="86" fillId="3" borderId="332" xfId="4" applyFont="1" applyFill="1" applyBorder="1" applyProtection="1">
      <alignment horizontal="right" vertical="center" indent="1"/>
      <protection hidden="1"/>
    </xf>
    <xf numFmtId="0" fontId="86" fillId="3" borderId="336" xfId="4" applyFont="1" applyFill="1" applyBorder="1" applyProtection="1">
      <alignment horizontal="right" vertical="center" indent="1"/>
      <protection hidden="1"/>
    </xf>
    <xf numFmtId="0" fontId="86" fillId="3" borderId="337" xfId="4" applyFont="1" applyFill="1" applyBorder="1" applyProtection="1">
      <alignment horizontal="right" vertical="center" indent="1"/>
      <protection hidden="1"/>
    </xf>
    <xf numFmtId="0" fontId="48" fillId="3" borderId="301" xfId="0" applyFont="1" applyFill="1" applyBorder="1" applyAlignment="1" applyProtection="1">
      <alignment horizontal="center" vertical="center"/>
      <protection hidden="1"/>
    </xf>
    <xf numFmtId="0" fontId="48" fillId="3" borderId="302" xfId="0" applyFont="1" applyFill="1" applyBorder="1" applyAlignment="1" applyProtection="1">
      <alignment horizontal="center" vertical="center"/>
      <protection hidden="1"/>
    </xf>
    <xf numFmtId="0" fontId="48" fillId="3" borderId="303" xfId="0" applyFont="1" applyFill="1" applyBorder="1" applyAlignment="1" applyProtection="1">
      <alignment horizontal="center" vertical="center"/>
      <protection hidden="1"/>
    </xf>
    <xf numFmtId="0" fontId="86" fillId="3" borderId="338" xfId="3" applyFont="1" applyFill="1" applyBorder="1" applyProtection="1">
      <alignment horizontal="left" vertical="center" indent="1"/>
      <protection hidden="1"/>
    </xf>
    <xf numFmtId="0" fontId="86" fillId="3" borderId="339" xfId="3" applyFont="1" applyFill="1" applyBorder="1" applyProtection="1">
      <alignment horizontal="left" vertical="center" indent="1"/>
      <protection hidden="1"/>
    </xf>
    <xf numFmtId="0" fontId="86" fillId="3" borderId="340" xfId="3" applyFont="1" applyFill="1" applyBorder="1" applyProtection="1">
      <alignment horizontal="left" vertical="center" indent="1"/>
      <protection hidden="1"/>
    </xf>
    <xf numFmtId="0" fontId="4" fillId="3" borderId="307" xfId="0" applyFont="1" applyFill="1" applyBorder="1" applyAlignment="1" applyProtection="1">
      <alignment horizontal="center" vertical="center"/>
      <protection hidden="1"/>
    </xf>
    <xf numFmtId="0" fontId="4" fillId="3" borderId="135" xfId="0" applyFont="1" applyFill="1" applyBorder="1" applyAlignment="1" applyProtection="1">
      <alignment horizontal="center" vertical="center"/>
      <protection hidden="1"/>
    </xf>
    <xf numFmtId="0" fontId="4" fillId="3" borderId="189" xfId="0" applyFont="1" applyFill="1" applyBorder="1" applyAlignment="1" applyProtection="1">
      <alignment horizontal="center" vertical="center"/>
      <protection hidden="1"/>
    </xf>
    <xf numFmtId="0" fontId="4" fillId="3" borderId="130" xfId="0" applyFont="1" applyFill="1" applyBorder="1" applyAlignment="1" applyProtection="1">
      <alignment horizontal="center" vertical="center"/>
      <protection hidden="1"/>
    </xf>
    <xf numFmtId="0" fontId="4" fillId="3" borderId="308" xfId="0" applyFont="1" applyFill="1" applyBorder="1" applyAlignment="1" applyProtection="1">
      <alignment horizontal="center" vertical="center"/>
      <protection hidden="1"/>
    </xf>
    <xf numFmtId="0" fontId="0" fillId="3" borderId="326" xfId="3" applyFont="1" applyFill="1" applyBorder="1" applyProtection="1">
      <alignment horizontal="left" vertical="center" indent="1"/>
      <protection hidden="1"/>
    </xf>
    <xf numFmtId="0" fontId="0" fillId="3" borderId="327" xfId="3" applyFont="1" applyFill="1" applyBorder="1" applyProtection="1">
      <alignment horizontal="left" vertical="center" indent="1"/>
      <protection hidden="1"/>
    </xf>
    <xf numFmtId="0" fontId="0" fillId="3" borderId="328" xfId="3" applyFont="1" applyFill="1" applyBorder="1" applyProtection="1">
      <alignment horizontal="left" vertical="center" indent="1"/>
      <protection hidden="1"/>
    </xf>
    <xf numFmtId="0" fontId="0" fillId="3" borderId="309" xfId="3" applyFont="1" applyFill="1" applyBorder="1" applyAlignment="1" applyProtection="1">
      <alignment horizontal="left" indent="1"/>
      <protection hidden="1"/>
    </xf>
    <xf numFmtId="0" fontId="0" fillId="3" borderId="310" xfId="3" applyFont="1" applyFill="1" applyBorder="1" applyAlignment="1" applyProtection="1">
      <alignment horizontal="left" indent="1"/>
      <protection hidden="1"/>
    </xf>
    <xf numFmtId="0" fontId="0" fillId="3" borderId="311" xfId="3" applyFont="1" applyFill="1" applyBorder="1" applyAlignment="1" applyProtection="1">
      <alignment horizontal="left" indent="1"/>
      <protection hidden="1"/>
    </xf>
    <xf numFmtId="0" fontId="4" fillId="3" borderId="322" xfId="3" applyFont="1" applyFill="1" applyBorder="1" applyProtection="1">
      <alignment horizontal="left" vertical="center" indent="1"/>
      <protection hidden="1"/>
    </xf>
    <xf numFmtId="0" fontId="4" fillId="3" borderId="323" xfId="3" applyFont="1" applyFill="1" applyBorder="1" applyProtection="1">
      <alignment horizontal="left" vertical="center" indent="1"/>
      <protection hidden="1"/>
    </xf>
    <xf numFmtId="0" fontId="4" fillId="3" borderId="324" xfId="3" applyFont="1" applyFill="1" applyBorder="1" applyProtection="1">
      <alignment horizontal="left" vertical="center" indent="1"/>
      <protection hidden="1"/>
    </xf>
    <xf numFmtId="0" fontId="4" fillId="3" borderId="301" xfId="3" applyFont="1" applyFill="1" applyBorder="1" applyProtection="1">
      <alignment horizontal="left" vertical="center" indent="1"/>
      <protection hidden="1"/>
    </xf>
    <xf numFmtId="0" fontId="4" fillId="3" borderId="302" xfId="3" applyFont="1" applyFill="1" applyBorder="1" applyProtection="1">
      <alignment horizontal="left" vertical="center" indent="1"/>
      <protection hidden="1"/>
    </xf>
    <xf numFmtId="0" fontId="4" fillId="3" borderId="303" xfId="3" applyFont="1" applyFill="1" applyBorder="1" applyProtection="1">
      <alignment horizontal="left" vertical="center" indent="1"/>
      <protection hidden="1"/>
    </xf>
    <xf numFmtId="0" fontId="102" fillId="25" borderId="9" xfId="0" applyFont="1" applyFill="1" applyBorder="1" applyAlignment="1" applyProtection="1">
      <alignment horizontal="left" vertical="center" wrapText="1"/>
      <protection hidden="1"/>
    </xf>
    <xf numFmtId="0" fontId="113" fillId="3" borderId="341" xfId="3" applyFont="1" applyFill="1" applyBorder="1" applyAlignment="1" applyProtection="1">
      <alignment horizontal="left" vertical="center" wrapText="1" indent="1"/>
      <protection hidden="1"/>
    </xf>
    <xf numFmtId="0" fontId="113" fillId="3" borderId="342" xfId="3" applyFont="1" applyFill="1" applyBorder="1" applyAlignment="1" applyProtection="1">
      <alignment horizontal="left" vertical="center" wrapText="1" indent="1"/>
      <protection hidden="1"/>
    </xf>
    <xf numFmtId="0" fontId="113" fillId="3" borderId="344" xfId="3" applyFont="1" applyFill="1" applyBorder="1" applyAlignment="1" applyProtection="1">
      <alignment horizontal="left" vertical="center" wrapText="1" indent="1"/>
      <protection hidden="1"/>
    </xf>
    <xf numFmtId="0" fontId="0" fillId="7" borderId="191" xfId="0" applyFill="1" applyBorder="1" applyAlignment="1" applyProtection="1">
      <alignment horizontal="center" vertical="center" wrapText="1"/>
      <protection locked="0" hidden="1"/>
    </xf>
    <xf numFmtId="0" fontId="0" fillId="7" borderId="192" xfId="0" applyFill="1" applyBorder="1" applyAlignment="1" applyProtection="1">
      <alignment horizontal="center" vertical="center" wrapText="1"/>
      <protection locked="0" hidden="1"/>
    </xf>
    <xf numFmtId="0" fontId="0" fillId="7" borderId="193" xfId="0" applyFill="1" applyBorder="1" applyAlignment="1" applyProtection="1">
      <alignment horizontal="center" vertical="center" wrapText="1"/>
      <protection locked="0" hidden="1"/>
    </xf>
    <xf numFmtId="0" fontId="0" fillId="9" borderId="0" xfId="0" applyFill="1" applyAlignment="1" applyProtection="1">
      <alignment horizontal="center" vertical="center"/>
      <protection hidden="1"/>
    </xf>
    <xf numFmtId="0" fontId="17" fillId="3" borderId="25" xfId="0" applyFont="1" applyFill="1" applyBorder="1" applyAlignment="1" applyProtection="1">
      <alignment horizontal="center" vertical="center" wrapText="1"/>
      <protection hidden="1"/>
    </xf>
    <xf numFmtId="0" fontId="17" fillId="3" borderId="13" xfId="0" applyFont="1" applyFill="1" applyBorder="1" applyAlignment="1" applyProtection="1">
      <alignment horizontal="center" vertical="center" wrapText="1"/>
      <protection hidden="1"/>
    </xf>
    <xf numFmtId="0" fontId="17" fillId="3" borderId="25" xfId="0" quotePrefix="1" applyFont="1" applyFill="1" applyBorder="1" applyAlignment="1" applyProtection="1">
      <alignment horizontal="center" vertical="center" wrapText="1"/>
      <protection hidden="1"/>
    </xf>
    <xf numFmtId="0" fontId="17" fillId="3" borderId="13" xfId="0" quotePrefix="1" applyFont="1" applyFill="1" applyBorder="1" applyAlignment="1" applyProtection="1">
      <alignment horizontal="center" vertical="center" wrapText="1"/>
      <protection hidden="1"/>
    </xf>
    <xf numFmtId="0" fontId="28" fillId="3" borderId="0" xfId="0" applyFont="1" applyFill="1" applyAlignment="1" applyProtection="1">
      <alignment horizontal="center" vertical="center"/>
      <protection hidden="1"/>
    </xf>
    <xf numFmtId="0" fontId="28" fillId="3" borderId="7" xfId="0" applyFont="1" applyFill="1" applyBorder="1" applyAlignment="1" applyProtection="1">
      <alignment horizontal="center" vertical="center"/>
      <protection hidden="1"/>
    </xf>
    <xf numFmtId="0" fontId="2" fillId="3" borderId="0" xfId="0" applyFont="1" applyFill="1" applyAlignment="1" applyProtection="1">
      <alignment horizontal="center" vertical="center"/>
      <protection hidden="1"/>
    </xf>
    <xf numFmtId="0" fontId="2" fillId="10" borderId="195" xfId="0" applyFont="1" applyFill="1" applyBorder="1" applyAlignment="1" applyProtection="1">
      <alignment horizontal="center" vertical="center"/>
      <protection hidden="1"/>
    </xf>
    <xf numFmtId="0" fontId="2" fillId="10" borderId="196" xfId="0" applyFont="1" applyFill="1" applyBorder="1" applyAlignment="1" applyProtection="1">
      <alignment horizontal="center" vertical="center"/>
      <protection hidden="1"/>
    </xf>
    <xf numFmtId="0" fontId="2" fillId="6" borderId="190" xfId="0" applyFont="1" applyFill="1" applyBorder="1" applyAlignment="1" applyProtection="1">
      <alignment horizontal="center" vertical="center" wrapText="1"/>
      <protection locked="0"/>
    </xf>
    <xf numFmtId="0" fontId="2" fillId="6" borderId="197" xfId="0" applyFont="1" applyFill="1" applyBorder="1" applyAlignment="1" applyProtection="1">
      <alignment horizontal="center" vertical="center" wrapText="1"/>
      <protection locked="0"/>
    </xf>
    <xf numFmtId="0" fontId="2" fillId="6" borderId="16" xfId="0" applyFont="1" applyFill="1" applyBorder="1" applyAlignment="1" applyProtection="1">
      <alignment horizontal="center" vertical="center" wrapText="1"/>
      <protection locked="0"/>
    </xf>
    <xf numFmtId="0" fontId="18" fillId="3" borderId="0" xfId="0" applyFont="1" applyFill="1" applyAlignment="1" applyProtection="1">
      <alignment horizontal="center" vertical="top"/>
      <protection hidden="1"/>
    </xf>
    <xf numFmtId="0" fontId="2" fillId="6" borderId="198" xfId="0" applyFont="1" applyFill="1" applyBorder="1" applyAlignment="1" applyProtection="1">
      <alignment horizontal="center" vertical="center" wrapText="1"/>
      <protection locked="0"/>
    </xf>
    <xf numFmtId="0" fontId="2" fillId="6" borderId="199" xfId="0" applyFont="1" applyFill="1" applyBorder="1" applyAlignment="1" applyProtection="1">
      <alignment horizontal="center" vertical="center" wrapText="1"/>
      <protection locked="0"/>
    </xf>
    <xf numFmtId="0" fontId="2" fillId="6" borderId="200" xfId="0" applyFont="1" applyFill="1" applyBorder="1" applyAlignment="1" applyProtection="1">
      <alignment horizontal="center" vertical="center" wrapText="1"/>
      <protection locked="0"/>
    </xf>
    <xf numFmtId="0" fontId="18" fillId="3" borderId="18" xfId="0" applyFont="1" applyFill="1" applyBorder="1" applyAlignment="1" applyProtection="1">
      <alignment horizontal="center" vertical="top"/>
      <protection hidden="1"/>
    </xf>
    <xf numFmtId="0" fontId="17" fillId="9" borderId="0" xfId="0" applyFont="1" applyFill="1" applyAlignment="1" applyProtection="1">
      <alignment horizontal="center" vertical="center"/>
      <protection hidden="1"/>
    </xf>
    <xf numFmtId="0" fontId="101" fillId="3" borderId="77" xfId="0" applyFont="1" applyFill="1" applyBorder="1" applyAlignment="1" applyProtection="1">
      <alignment horizontal="center" vertical="center" wrapText="1"/>
      <protection hidden="1"/>
    </xf>
    <xf numFmtId="0" fontId="101" fillId="3" borderId="77" xfId="0" applyFont="1" applyFill="1" applyBorder="1" applyAlignment="1" applyProtection="1">
      <alignment horizontal="center" vertical="center"/>
      <protection hidden="1"/>
    </xf>
    <xf numFmtId="0" fontId="101" fillId="3" borderId="18" xfId="0" applyFont="1" applyFill="1" applyBorder="1" applyAlignment="1" applyProtection="1">
      <alignment horizontal="center" vertical="center"/>
      <protection hidden="1"/>
    </xf>
    <xf numFmtId="0" fontId="27" fillId="10" borderId="358" xfId="0" applyFont="1" applyFill="1" applyBorder="1" applyAlignment="1" applyProtection="1">
      <alignment horizontal="center" vertical="center"/>
      <protection hidden="1"/>
    </xf>
    <xf numFmtId="0" fontId="27" fillId="10" borderId="429" xfId="0" applyFont="1" applyFill="1" applyBorder="1" applyAlignment="1" applyProtection="1">
      <alignment horizontal="center" vertical="center"/>
      <protection hidden="1"/>
    </xf>
    <xf numFmtId="0" fontId="27" fillId="10" borderId="253" xfId="0" applyFont="1" applyFill="1" applyBorder="1" applyAlignment="1" applyProtection="1">
      <alignment horizontal="center" vertical="center"/>
      <protection hidden="1"/>
    </xf>
    <xf numFmtId="0" fontId="27" fillId="10" borderId="430" xfId="0" applyFont="1" applyFill="1" applyBorder="1" applyAlignment="1" applyProtection="1">
      <alignment horizontal="center" vertical="center"/>
      <protection hidden="1"/>
    </xf>
    <xf numFmtId="0" fontId="27" fillId="10" borderId="431" xfId="0" applyFont="1" applyFill="1" applyBorder="1" applyAlignment="1" applyProtection="1">
      <alignment horizontal="center" vertical="center"/>
      <protection hidden="1"/>
    </xf>
    <xf numFmtId="0" fontId="27" fillId="10" borderId="432" xfId="0" applyFont="1" applyFill="1" applyBorder="1" applyAlignment="1" applyProtection="1">
      <alignment horizontal="center" vertical="center"/>
      <protection hidden="1"/>
    </xf>
    <xf numFmtId="0" fontId="52" fillId="10" borderId="370" xfId="0" applyFont="1" applyFill="1" applyBorder="1" applyAlignment="1" applyProtection="1">
      <alignment horizontal="center" vertical="center"/>
      <protection hidden="1"/>
    </xf>
    <xf numFmtId="0" fontId="52" fillId="10" borderId="283" xfId="0" applyFont="1" applyFill="1" applyBorder="1" applyAlignment="1" applyProtection="1">
      <alignment horizontal="center" vertical="center"/>
      <protection hidden="1"/>
    </xf>
    <xf numFmtId="0" fontId="52" fillId="10" borderId="284" xfId="0" applyFont="1" applyFill="1" applyBorder="1" applyAlignment="1" applyProtection="1">
      <alignment horizontal="center" vertical="center"/>
      <protection hidden="1"/>
    </xf>
    <xf numFmtId="49" fontId="27" fillId="6" borderId="443" xfId="0" applyNumberFormat="1" applyFont="1" applyFill="1" applyBorder="1" applyAlignment="1" applyProtection="1">
      <alignment horizontal="center" vertical="center"/>
      <protection locked="0"/>
    </xf>
    <xf numFmtId="0" fontId="52" fillId="10" borderId="436" xfId="0" applyFont="1" applyFill="1" applyBorder="1" applyAlignment="1" applyProtection="1">
      <alignment horizontal="center" vertical="center"/>
      <protection hidden="1"/>
    </xf>
    <xf numFmtId="0" fontId="52" fillId="10" borderId="437" xfId="0" applyFont="1" applyFill="1" applyBorder="1" applyAlignment="1" applyProtection="1">
      <alignment horizontal="center" vertical="center"/>
      <protection hidden="1"/>
    </xf>
    <xf numFmtId="0" fontId="52" fillId="10" borderId="438" xfId="0" applyFont="1" applyFill="1" applyBorder="1" applyAlignment="1" applyProtection="1">
      <alignment horizontal="center" vertical="center"/>
      <protection hidden="1"/>
    </xf>
    <xf numFmtId="0" fontId="52" fillId="10" borderId="439" xfId="0" applyFont="1" applyFill="1" applyBorder="1" applyAlignment="1" applyProtection="1">
      <alignment horizontal="center" vertical="center"/>
      <protection hidden="1"/>
    </xf>
    <xf numFmtId="0" fontId="52" fillId="10" borderId="285" xfId="0" applyFont="1" applyFill="1" applyBorder="1" applyAlignment="1" applyProtection="1">
      <alignment horizontal="center" vertical="center"/>
      <protection hidden="1"/>
    </xf>
    <xf numFmtId="0" fontId="52" fillId="10" borderId="440" xfId="0" applyFont="1" applyFill="1" applyBorder="1" applyAlignment="1" applyProtection="1">
      <alignment horizontal="center" vertical="center"/>
      <protection hidden="1"/>
    </xf>
    <xf numFmtId="49" fontId="27" fillId="6" borderId="441" xfId="0" applyNumberFormat="1" applyFont="1" applyFill="1" applyBorder="1" applyAlignment="1" applyProtection="1">
      <alignment horizontal="center" vertical="center"/>
      <protection locked="0"/>
    </xf>
    <xf numFmtId="49" fontId="27" fillId="6" borderId="442" xfId="0" applyNumberFormat="1" applyFont="1" applyFill="1" applyBorder="1" applyAlignment="1" applyProtection="1">
      <alignment horizontal="center" vertical="center"/>
      <protection locked="0"/>
    </xf>
    <xf numFmtId="49" fontId="27" fillId="6" borderId="444" xfId="0" applyNumberFormat="1" applyFont="1" applyFill="1" applyBorder="1" applyAlignment="1" applyProtection="1">
      <alignment horizontal="center" vertical="center"/>
      <protection locked="0"/>
    </xf>
    <xf numFmtId="0" fontId="27" fillId="10" borderId="433" xfId="0" applyFont="1" applyFill="1" applyBorder="1" applyAlignment="1" applyProtection="1">
      <alignment horizontal="center" vertical="center"/>
      <protection hidden="1"/>
    </xf>
    <xf numFmtId="0" fontId="27" fillId="10" borderId="434" xfId="0" applyFont="1" applyFill="1" applyBorder="1" applyAlignment="1" applyProtection="1">
      <alignment horizontal="center" vertical="center"/>
      <protection hidden="1"/>
    </xf>
    <xf numFmtId="0" fontId="27" fillId="10" borderId="435" xfId="0" applyFont="1" applyFill="1" applyBorder="1" applyAlignment="1" applyProtection="1">
      <alignment horizontal="center" vertical="center"/>
      <protection hidden="1"/>
    </xf>
    <xf numFmtId="49" fontId="27" fillId="6" borderId="445" xfId="0" applyNumberFormat="1" applyFont="1" applyFill="1" applyBorder="1" applyAlignment="1" applyProtection="1">
      <alignment horizontal="center" vertical="center"/>
      <protection locked="0"/>
    </xf>
    <xf numFmtId="49" fontId="27" fillId="6" borderId="446" xfId="0" applyNumberFormat="1" applyFont="1" applyFill="1" applyBorder="1" applyAlignment="1" applyProtection="1">
      <alignment horizontal="center" vertical="center"/>
      <protection locked="0"/>
    </xf>
    <xf numFmtId="49" fontId="27" fillId="6" borderId="447" xfId="0" applyNumberFormat="1" applyFont="1" applyFill="1" applyBorder="1" applyAlignment="1" applyProtection="1">
      <alignment horizontal="center" vertical="center"/>
      <protection locked="0"/>
    </xf>
    <xf numFmtId="49" fontId="27" fillId="6" borderId="448" xfId="0" applyNumberFormat="1" applyFont="1" applyFill="1" applyBorder="1" applyAlignment="1" applyProtection="1">
      <alignment horizontal="center" vertical="center"/>
      <protection locked="0"/>
    </xf>
    <xf numFmtId="49" fontId="27" fillId="6" borderId="449" xfId="0" applyNumberFormat="1" applyFont="1" applyFill="1" applyBorder="1" applyAlignment="1" applyProtection="1">
      <alignment horizontal="center" vertical="center"/>
      <protection locked="0"/>
    </xf>
    <xf numFmtId="0" fontId="0" fillId="7" borderId="191" xfId="0" applyFill="1" applyBorder="1" applyAlignment="1" applyProtection="1">
      <alignment horizontal="center" vertical="center"/>
      <protection locked="0" hidden="1"/>
    </xf>
    <xf numFmtId="0" fontId="0" fillId="7" borderId="193" xfId="0" applyFill="1" applyBorder="1" applyAlignment="1" applyProtection="1">
      <alignment horizontal="center" vertical="center"/>
      <protection locked="0" hidden="1"/>
    </xf>
    <xf numFmtId="164" fontId="0" fillId="6" borderId="190" xfId="0" applyNumberFormat="1" applyFill="1" applyBorder="1" applyAlignment="1" applyProtection="1">
      <alignment horizontal="center" vertical="center"/>
      <protection locked="0" hidden="1"/>
    </xf>
    <xf numFmtId="164" fontId="0" fillId="6" borderId="16" xfId="0" applyNumberFormat="1" applyFill="1" applyBorder="1" applyAlignment="1" applyProtection="1">
      <alignment horizontal="center" vertical="center"/>
      <protection locked="0" hidden="1"/>
    </xf>
    <xf numFmtId="0" fontId="46" fillId="3" borderId="91" xfId="0" applyFont="1" applyFill="1" applyBorder="1" applyAlignment="1" applyProtection="1">
      <alignment horizontal="right" vertical="top" indent="1"/>
      <protection hidden="1"/>
    </xf>
    <xf numFmtId="0" fontId="3" fillId="3" borderId="91" xfId="0" applyFont="1" applyFill="1" applyBorder="1" applyAlignment="1" applyProtection="1">
      <alignment horizontal="right" vertical="top" indent="1"/>
      <protection hidden="1"/>
    </xf>
    <xf numFmtId="0" fontId="0" fillId="7" borderId="192" xfId="0" applyFill="1" applyBorder="1" applyAlignment="1" applyProtection="1">
      <alignment horizontal="center" vertical="center"/>
      <protection locked="0" hidden="1"/>
    </xf>
    <xf numFmtId="0" fontId="0" fillId="6" borderId="190" xfId="0" applyFill="1" applyBorder="1" applyAlignment="1" applyProtection="1">
      <alignment horizontal="center" vertical="center"/>
      <protection locked="0" hidden="1"/>
    </xf>
    <xf numFmtId="0" fontId="0" fillId="6" borderId="16" xfId="0" applyFill="1" applyBorder="1" applyAlignment="1" applyProtection="1">
      <alignment horizontal="center" vertical="center"/>
      <protection locked="0" hidden="1"/>
    </xf>
    <xf numFmtId="167" fontId="0" fillId="6" borderId="190" xfId="0" applyNumberFormat="1" applyFill="1" applyBorder="1" applyAlignment="1" applyProtection="1">
      <alignment horizontal="center" vertical="center"/>
      <protection locked="0" hidden="1"/>
    </xf>
    <xf numFmtId="167" fontId="0" fillId="6" borderId="16" xfId="0" applyNumberFormat="1" applyFill="1" applyBorder="1" applyAlignment="1" applyProtection="1">
      <alignment horizontal="center" vertical="center"/>
      <protection locked="0" hidden="1"/>
    </xf>
    <xf numFmtId="0" fontId="49" fillId="3" borderId="0" xfId="0" applyFont="1" applyFill="1" applyAlignment="1" applyProtection="1">
      <alignment horizontal="left" vertical="top" wrapText="1"/>
      <protection hidden="1"/>
    </xf>
    <xf numFmtId="0" fontId="49" fillId="3" borderId="0" xfId="0" applyFont="1" applyFill="1" applyAlignment="1" applyProtection="1">
      <alignment horizontal="left" vertical="top"/>
      <protection hidden="1"/>
    </xf>
    <xf numFmtId="0" fontId="49" fillId="3" borderId="5" xfId="0" applyFont="1" applyFill="1" applyBorder="1" applyAlignment="1" applyProtection="1">
      <alignment horizontal="left" vertical="top"/>
      <protection hidden="1"/>
    </xf>
    <xf numFmtId="0" fontId="94" fillId="0" borderId="195" xfId="0" applyFont="1" applyBorder="1" applyAlignment="1" applyProtection="1">
      <alignment horizontal="center" vertical="center" wrapText="1"/>
      <protection hidden="1"/>
    </xf>
    <xf numFmtId="0" fontId="94" fillId="0" borderId="196" xfId="0" applyFont="1" applyBorder="1" applyAlignment="1" applyProtection="1">
      <alignment horizontal="center" vertical="center" wrapText="1"/>
      <protection hidden="1"/>
    </xf>
    <xf numFmtId="0" fontId="94" fillId="0" borderId="211" xfId="0" applyFont="1" applyBorder="1" applyAlignment="1" applyProtection="1">
      <alignment horizontal="center" vertical="center" wrapText="1"/>
      <protection hidden="1"/>
    </xf>
    <xf numFmtId="0" fontId="86" fillId="13" borderId="403" xfId="0" applyFont="1" applyFill="1" applyBorder="1" applyAlignment="1" applyProtection="1">
      <alignment horizontal="center" vertical="center" wrapText="1"/>
      <protection hidden="1"/>
    </xf>
    <xf numFmtId="0" fontId="86" fillId="13" borderId="132" xfId="0" applyFont="1" applyFill="1" applyBorder="1" applyAlignment="1" applyProtection="1">
      <alignment horizontal="center" vertical="center" wrapText="1"/>
      <protection hidden="1"/>
    </xf>
    <xf numFmtId="164" fontId="4" fillId="13" borderId="425" xfId="0" quotePrefix="1" applyNumberFormat="1" applyFont="1" applyFill="1" applyBorder="1" applyAlignment="1" applyProtection="1">
      <alignment horizontal="center" vertical="center" wrapText="1"/>
      <protection hidden="1"/>
    </xf>
    <xf numFmtId="164" fontId="4" fillId="13" borderId="132" xfId="0" applyNumberFormat="1" applyFont="1" applyFill="1" applyBorder="1" applyAlignment="1" applyProtection="1">
      <alignment horizontal="center" vertical="center" wrapText="1"/>
      <protection hidden="1"/>
    </xf>
    <xf numFmtId="164" fontId="4" fillId="13" borderId="425" xfId="0" applyNumberFormat="1" applyFont="1" applyFill="1" applyBorder="1" applyAlignment="1" applyProtection="1">
      <alignment horizontal="center" vertical="center" wrapText="1"/>
      <protection hidden="1"/>
    </xf>
    <xf numFmtId="166" fontId="55" fillId="6" borderId="190" xfId="0" applyNumberFormat="1" applyFont="1" applyFill="1" applyBorder="1" applyAlignment="1" applyProtection="1">
      <alignment horizontal="center" vertical="center"/>
      <protection locked="0" hidden="1"/>
    </xf>
    <xf numFmtId="166" fontId="55" fillId="6" borderId="16" xfId="0" applyNumberFormat="1" applyFont="1" applyFill="1" applyBorder="1" applyAlignment="1" applyProtection="1">
      <alignment horizontal="center" vertical="center"/>
      <protection locked="0" hidden="1"/>
    </xf>
    <xf numFmtId="0" fontId="17" fillId="9" borderId="0" xfId="0" applyFont="1" applyFill="1" applyAlignment="1" applyProtection="1">
      <alignment horizontal="right" vertical="center" wrapText="1" indent="1"/>
      <protection hidden="1"/>
    </xf>
    <xf numFmtId="0" fontId="0" fillId="9" borderId="0" xfId="0" applyFill="1" applyAlignment="1" applyProtection="1">
      <alignment horizontal="left" vertical="center" indent="1"/>
      <protection hidden="1"/>
    </xf>
    <xf numFmtId="0" fontId="0" fillId="9" borderId="73" xfId="0" applyFill="1" applyBorder="1" applyAlignment="1" applyProtection="1">
      <alignment horizontal="left" vertical="center" indent="1"/>
      <protection hidden="1"/>
    </xf>
    <xf numFmtId="0" fontId="0" fillId="9" borderId="94" xfId="0" applyFill="1" applyBorder="1" applyAlignment="1" applyProtection="1">
      <alignment horizontal="center" vertical="center"/>
      <protection hidden="1"/>
    </xf>
    <xf numFmtId="0" fontId="0" fillId="9" borderId="96" xfId="0" applyFill="1" applyBorder="1" applyAlignment="1" applyProtection="1">
      <alignment horizontal="center" vertical="center"/>
      <protection hidden="1"/>
    </xf>
    <xf numFmtId="0" fontId="0" fillId="9" borderId="97" xfId="0" applyFill="1" applyBorder="1" applyAlignment="1" applyProtection="1">
      <alignment horizontal="center" vertical="center"/>
      <protection hidden="1"/>
    </xf>
    <xf numFmtId="0" fontId="0" fillId="9" borderId="98" xfId="0" applyFill="1" applyBorder="1" applyAlignment="1" applyProtection="1">
      <alignment horizontal="center" vertical="center"/>
      <protection hidden="1"/>
    </xf>
    <xf numFmtId="0" fontId="0" fillId="9" borderId="100" xfId="0" applyFill="1" applyBorder="1" applyAlignment="1" applyProtection="1">
      <alignment horizontal="center" vertical="center"/>
      <protection hidden="1"/>
    </xf>
    <xf numFmtId="164" fontId="0" fillId="9" borderId="0" xfId="0" applyNumberFormat="1" applyFill="1" applyAlignment="1" applyProtection="1">
      <alignment horizontal="center" vertical="center"/>
      <protection hidden="1"/>
    </xf>
    <xf numFmtId="0" fontId="0" fillId="9" borderId="96" xfId="0" applyFill="1" applyBorder="1" applyAlignment="1" applyProtection="1">
      <alignment horizontal="left" vertical="center" indent="1"/>
      <protection hidden="1"/>
    </xf>
    <xf numFmtId="0" fontId="0" fillId="9" borderId="95" xfId="0" applyFill="1" applyBorder="1" applyAlignment="1" applyProtection="1">
      <alignment horizontal="left" vertical="center" indent="1"/>
      <protection hidden="1"/>
    </xf>
    <xf numFmtId="0" fontId="0" fillId="10" borderId="94" xfId="0" applyFill="1" applyBorder="1" applyAlignment="1" applyProtection="1">
      <alignment horizontal="center" vertical="center"/>
      <protection hidden="1"/>
    </xf>
    <xf numFmtId="0" fontId="0" fillId="10" borderId="96" xfId="0" applyFill="1" applyBorder="1" applyAlignment="1" applyProtection="1">
      <alignment horizontal="center" vertical="center"/>
      <protection hidden="1"/>
    </xf>
    <xf numFmtId="0" fontId="0" fillId="10" borderId="97" xfId="0" applyFill="1" applyBorder="1" applyAlignment="1" applyProtection="1">
      <alignment horizontal="center" vertical="center"/>
      <protection hidden="1"/>
    </xf>
    <xf numFmtId="0" fontId="0" fillId="10" borderId="0" xfId="0" applyFill="1" applyAlignment="1" applyProtection="1">
      <alignment horizontal="center" vertical="center"/>
      <protection hidden="1"/>
    </xf>
    <xf numFmtId="0" fontId="0" fillId="10" borderId="98" xfId="0" applyFill="1" applyBorder="1" applyAlignment="1" applyProtection="1">
      <alignment horizontal="center" vertical="center"/>
      <protection hidden="1"/>
    </xf>
    <xf numFmtId="0" fontId="0" fillId="10" borderId="100" xfId="0" applyFill="1" applyBorder="1" applyAlignment="1" applyProtection="1">
      <alignment horizontal="center" vertical="center"/>
      <protection hidden="1"/>
    </xf>
    <xf numFmtId="0" fontId="0" fillId="10" borderId="100" xfId="0" applyFill="1" applyBorder="1" applyAlignment="1" applyProtection="1">
      <alignment horizontal="left" vertical="center" indent="1"/>
      <protection hidden="1"/>
    </xf>
    <xf numFmtId="0" fontId="37" fillId="3" borderId="410" xfId="0" applyFont="1" applyFill="1" applyBorder="1" applyAlignment="1" applyProtection="1">
      <alignment horizontal="left" vertical="center" wrapText="1" indent="3"/>
      <protection hidden="1"/>
    </xf>
    <xf numFmtId="0" fontId="37" fillId="3" borderId="404" xfId="0" applyFont="1" applyFill="1" applyBorder="1" applyAlignment="1" applyProtection="1">
      <alignment horizontal="left" vertical="center" wrapText="1" indent="3"/>
      <protection hidden="1"/>
    </xf>
    <xf numFmtId="0" fontId="37" fillId="3" borderId="91" xfId="0" applyFont="1" applyFill="1" applyBorder="1" applyAlignment="1" applyProtection="1">
      <alignment horizontal="left" vertical="center" wrapText="1" indent="3"/>
      <protection hidden="1"/>
    </xf>
    <xf numFmtId="0" fontId="37" fillId="3" borderId="73" xfId="0" applyFont="1" applyFill="1" applyBorder="1" applyAlignment="1" applyProtection="1">
      <alignment horizontal="left" vertical="center" wrapText="1" indent="3"/>
      <protection hidden="1"/>
    </xf>
    <xf numFmtId="0" fontId="37" fillId="3" borderId="231" xfId="0" applyFont="1" applyFill="1" applyBorder="1" applyAlignment="1" applyProtection="1">
      <alignment horizontal="left" vertical="center" wrapText="1" indent="3"/>
      <protection hidden="1"/>
    </xf>
    <xf numFmtId="0" fontId="37" fillId="3" borderId="207" xfId="0" applyFont="1" applyFill="1" applyBorder="1" applyAlignment="1" applyProtection="1">
      <alignment horizontal="left" vertical="center" wrapText="1" indent="3"/>
      <protection hidden="1"/>
    </xf>
    <xf numFmtId="0" fontId="0" fillId="3" borderId="130" xfId="0" applyFill="1" applyBorder="1" applyAlignment="1" applyProtection="1">
      <alignment horizontal="center" vertical="center" wrapText="1"/>
      <protection hidden="1"/>
    </xf>
    <xf numFmtId="0" fontId="0" fillId="3" borderId="404" xfId="0" applyFill="1" applyBorder="1" applyAlignment="1" applyProtection="1">
      <alignment horizontal="center" vertical="center" wrapText="1"/>
      <protection hidden="1"/>
    </xf>
    <xf numFmtId="0" fontId="0" fillId="3" borderId="0" xfId="0" applyFill="1" applyAlignment="1" applyProtection="1">
      <alignment horizontal="center" vertical="center" wrapText="1"/>
      <protection hidden="1"/>
    </xf>
    <xf numFmtId="0" fontId="0" fillId="3" borderId="73" xfId="0" applyFill="1" applyBorder="1" applyAlignment="1" applyProtection="1">
      <alignment horizontal="center" vertical="center" wrapText="1"/>
      <protection hidden="1"/>
    </xf>
    <xf numFmtId="0" fontId="0" fillId="3" borderId="403" xfId="0" applyFill="1" applyBorder="1" applyAlignment="1" applyProtection="1">
      <alignment horizontal="center" vertical="center" wrapText="1"/>
      <protection hidden="1"/>
    </xf>
    <xf numFmtId="0" fontId="0" fillId="3" borderId="207" xfId="0" applyFill="1" applyBorder="1" applyAlignment="1" applyProtection="1">
      <alignment horizontal="center" vertical="center" wrapText="1"/>
      <protection hidden="1"/>
    </xf>
    <xf numFmtId="0" fontId="98" fillId="3" borderId="226" xfId="0" applyFont="1" applyFill="1" applyBorder="1" applyAlignment="1" applyProtection="1">
      <alignment vertical="center" wrapText="1"/>
      <protection hidden="1"/>
    </xf>
    <xf numFmtId="0" fontId="98" fillId="3" borderId="227" xfId="0" applyFont="1" applyFill="1" applyBorder="1" applyAlignment="1" applyProtection="1">
      <alignment vertical="center" wrapText="1"/>
      <protection hidden="1"/>
    </xf>
    <xf numFmtId="0" fontId="98" fillId="3" borderId="409" xfId="0" applyFont="1" applyFill="1" applyBorder="1" applyAlignment="1" applyProtection="1">
      <alignment vertical="center" wrapText="1"/>
      <protection hidden="1"/>
    </xf>
    <xf numFmtId="0" fontId="98" fillId="3" borderId="209" xfId="0" applyFont="1" applyFill="1" applyBorder="1" applyAlignment="1" applyProtection="1">
      <alignment vertical="center" wrapText="1"/>
      <protection hidden="1"/>
    </xf>
    <xf numFmtId="0" fontId="98" fillId="3" borderId="220" xfId="0" applyFont="1" applyFill="1" applyBorder="1" applyAlignment="1" applyProtection="1">
      <alignment vertical="center" wrapText="1"/>
      <protection hidden="1"/>
    </xf>
    <xf numFmtId="0" fontId="98" fillId="3" borderId="258" xfId="0" applyFont="1" applyFill="1" applyBorder="1" applyAlignment="1" applyProtection="1">
      <alignment vertical="center" wrapText="1"/>
      <protection hidden="1"/>
    </xf>
    <xf numFmtId="0" fontId="0" fillId="3" borderId="405" xfId="0" applyFill="1" applyBorder="1" applyAlignment="1" applyProtection="1">
      <alignment horizontal="center" vertical="center" wrapText="1"/>
      <protection hidden="1"/>
    </xf>
    <xf numFmtId="0" fontId="0" fillId="3" borderId="253" xfId="0" applyFill="1" applyBorder="1" applyAlignment="1" applyProtection="1">
      <alignment horizontal="center" vertical="center" wrapText="1"/>
      <protection hidden="1"/>
    </xf>
    <xf numFmtId="0" fontId="0" fillId="3" borderId="406" xfId="0" applyFill="1" applyBorder="1" applyAlignment="1" applyProtection="1">
      <alignment horizontal="center" vertical="center" wrapText="1"/>
      <protection hidden="1"/>
    </xf>
    <xf numFmtId="0" fontId="0" fillId="3" borderId="226" xfId="0" applyFill="1" applyBorder="1" applyAlignment="1" applyProtection="1">
      <alignment vertical="center" wrapText="1"/>
      <protection hidden="1"/>
    </xf>
    <xf numFmtId="0" fontId="0" fillId="3" borderId="227" xfId="0" applyFill="1" applyBorder="1" applyAlignment="1" applyProtection="1">
      <alignment vertical="center" wrapText="1"/>
      <protection hidden="1"/>
    </xf>
    <xf numFmtId="0" fontId="0" fillId="3" borderId="409" xfId="0" applyFill="1" applyBorder="1" applyAlignment="1" applyProtection="1">
      <alignment vertical="center" wrapText="1"/>
      <protection hidden="1"/>
    </xf>
    <xf numFmtId="0" fontId="0" fillId="3" borderId="133" xfId="0" applyFill="1" applyBorder="1" applyAlignment="1" applyProtection="1">
      <alignment vertical="center" wrapText="1"/>
      <protection hidden="1"/>
    </xf>
    <xf numFmtId="0" fontId="0" fillId="3" borderId="208" xfId="0" applyFill="1" applyBorder="1" applyAlignment="1" applyProtection="1">
      <alignment vertical="center" wrapText="1"/>
      <protection hidden="1"/>
    </xf>
    <xf numFmtId="0" fontId="35" fillId="2" borderId="0" xfId="0" applyFont="1" applyFill="1" applyAlignment="1" applyProtection="1">
      <alignment horizontal="center" vertical="center"/>
      <protection hidden="1"/>
    </xf>
    <xf numFmtId="164" fontId="55" fillId="6" borderId="190" xfId="0" applyNumberFormat="1" applyFont="1" applyFill="1" applyBorder="1" applyAlignment="1" applyProtection="1">
      <alignment horizontal="center" vertical="center"/>
      <protection locked="0" hidden="1"/>
    </xf>
    <xf numFmtId="164" fontId="55" fillId="6" borderId="16" xfId="0" applyNumberFormat="1" applyFont="1" applyFill="1" applyBorder="1" applyAlignment="1" applyProtection="1">
      <alignment horizontal="center" vertical="center"/>
      <protection locked="0" hidden="1"/>
    </xf>
    <xf numFmtId="0" fontId="17" fillId="9" borderId="130" xfId="0" applyFont="1" applyFill="1" applyBorder="1" applyAlignment="1" applyProtection="1">
      <alignment horizontal="right" vertical="center" wrapText="1" indent="1"/>
      <protection hidden="1"/>
    </xf>
    <xf numFmtId="169" fontId="55" fillId="6" borderId="190" xfId="0" applyNumberFormat="1" applyFont="1" applyFill="1" applyBorder="1" applyAlignment="1" applyProtection="1">
      <alignment horizontal="center" vertical="center" wrapText="1"/>
      <protection locked="0" hidden="1"/>
    </xf>
    <xf numFmtId="169" fontId="55" fillId="6" borderId="16" xfId="0" applyNumberFormat="1" applyFont="1" applyFill="1" applyBorder="1" applyAlignment="1" applyProtection="1">
      <alignment horizontal="center" vertical="center" wrapText="1"/>
      <protection locked="0" hidden="1"/>
    </xf>
    <xf numFmtId="0" fontId="37" fillId="3" borderId="0" xfId="0" applyFont="1" applyFill="1" applyAlignment="1" applyProtection="1">
      <alignment horizontal="left" wrapText="1"/>
      <protection hidden="1"/>
    </xf>
    <xf numFmtId="0" fontId="17" fillId="3" borderId="72" xfId="0" applyFont="1" applyFill="1" applyBorder="1" applyAlignment="1" applyProtection="1">
      <alignment horizontal="left" vertical="top" wrapText="1" indent="1"/>
      <protection hidden="1"/>
    </xf>
    <xf numFmtId="0" fontId="17" fillId="3" borderId="212" xfId="0" applyFont="1" applyFill="1" applyBorder="1" applyAlignment="1" applyProtection="1">
      <alignment horizontal="left" vertical="top" wrapText="1" indent="1"/>
      <protection hidden="1"/>
    </xf>
    <xf numFmtId="0" fontId="17" fillId="3" borderId="213" xfId="0" applyFont="1" applyFill="1" applyBorder="1" applyAlignment="1" applyProtection="1">
      <alignment horizontal="left" vertical="top" wrapText="1" indent="1"/>
      <protection hidden="1"/>
    </xf>
    <xf numFmtId="0" fontId="17" fillId="3" borderId="211" xfId="0" applyFont="1" applyFill="1" applyBorder="1" applyAlignment="1" applyProtection="1">
      <alignment horizontal="left" vertical="top" wrapText="1" indent="1"/>
      <protection hidden="1"/>
    </xf>
    <xf numFmtId="0" fontId="17" fillId="3" borderId="210" xfId="0" applyFont="1" applyFill="1" applyBorder="1" applyAlignment="1" applyProtection="1">
      <alignment horizontal="left" vertical="top" wrapText="1" indent="1"/>
      <protection hidden="1"/>
    </xf>
    <xf numFmtId="0" fontId="17" fillId="3" borderId="195" xfId="0" applyFont="1" applyFill="1" applyBorder="1" applyAlignment="1" applyProtection="1">
      <alignment horizontal="left" vertical="top" wrapText="1" indent="1"/>
      <protection hidden="1"/>
    </xf>
    <xf numFmtId="0" fontId="17" fillId="3" borderId="214" xfId="0" applyFont="1" applyFill="1" applyBorder="1" applyAlignment="1" applyProtection="1">
      <alignment horizontal="left" vertical="top" wrapText="1" indent="1"/>
      <protection hidden="1"/>
    </xf>
    <xf numFmtId="0" fontId="17" fillId="3" borderId="215" xfId="0" applyFont="1" applyFill="1" applyBorder="1" applyAlignment="1" applyProtection="1">
      <alignment horizontal="left" vertical="top" wrapText="1" indent="1"/>
      <protection hidden="1"/>
    </xf>
    <xf numFmtId="0" fontId="17" fillId="3" borderId="216" xfId="0" applyFont="1" applyFill="1" applyBorder="1" applyAlignment="1" applyProtection="1">
      <alignment horizontal="left" vertical="top" wrapText="1" indent="1"/>
      <protection hidden="1"/>
    </xf>
    <xf numFmtId="0" fontId="0" fillId="3" borderId="229" xfId="0" applyFill="1" applyBorder="1" applyAlignment="1" applyProtection="1">
      <alignment vertical="center" wrapText="1"/>
      <protection hidden="1"/>
    </xf>
    <xf numFmtId="0" fontId="0" fillId="3" borderId="404" xfId="0" applyFill="1" applyBorder="1" applyAlignment="1" applyProtection="1">
      <alignment vertical="center" wrapText="1"/>
      <protection hidden="1"/>
    </xf>
    <xf numFmtId="0" fontId="0" fillId="3" borderId="407" xfId="0" applyFill="1" applyBorder="1" applyAlignment="1" applyProtection="1">
      <alignment vertical="center" wrapText="1"/>
      <protection hidden="1"/>
    </xf>
    <xf numFmtId="0" fontId="0" fillId="3" borderId="408" xfId="0" applyFill="1" applyBorder="1" applyAlignment="1" applyProtection="1">
      <alignment vertical="center" wrapText="1"/>
      <protection hidden="1"/>
    </xf>
    <xf numFmtId="0" fontId="0" fillId="3" borderId="80" xfId="0" applyFill="1" applyBorder="1" applyAlignment="1" applyProtection="1">
      <alignment vertical="center" wrapText="1"/>
      <protection hidden="1"/>
    </xf>
    <xf numFmtId="0" fontId="0" fillId="3" borderId="218" xfId="0" applyFill="1" applyBorder="1" applyAlignment="1" applyProtection="1">
      <alignment vertical="center" wrapText="1"/>
      <protection hidden="1"/>
    </xf>
    <xf numFmtId="0" fontId="0" fillId="3" borderId="278" xfId="0" applyFill="1" applyBorder="1" applyAlignment="1" applyProtection="1">
      <alignment vertical="center" wrapText="1"/>
      <protection hidden="1"/>
    </xf>
    <xf numFmtId="0" fontId="0" fillId="3" borderId="209" xfId="0" applyFill="1" applyBorder="1" applyAlignment="1" applyProtection="1">
      <alignment vertical="center" wrapText="1"/>
      <protection hidden="1"/>
    </xf>
    <xf numFmtId="0" fontId="0" fillId="3" borderId="220" xfId="0" applyFill="1" applyBorder="1" applyAlignment="1" applyProtection="1">
      <alignment vertical="center" wrapText="1"/>
      <protection hidden="1"/>
    </xf>
    <xf numFmtId="0" fontId="0" fillId="3" borderId="258" xfId="0" applyFill="1" applyBorder="1" applyAlignment="1" applyProtection="1">
      <alignment vertical="center" wrapText="1"/>
      <protection hidden="1"/>
    </xf>
    <xf numFmtId="0" fontId="0" fillId="3" borderId="79" xfId="0" applyFill="1" applyBorder="1" applyAlignment="1" applyProtection="1">
      <alignment vertical="center" wrapText="1"/>
      <protection hidden="1"/>
    </xf>
    <xf numFmtId="0" fontId="0" fillId="3" borderId="223" xfId="0" applyFill="1" applyBorder="1" applyAlignment="1" applyProtection="1">
      <alignment vertical="center" wrapText="1"/>
      <protection hidden="1"/>
    </xf>
    <xf numFmtId="0" fontId="0" fillId="3" borderId="224" xfId="0" applyFill="1" applyBorder="1" applyAlignment="1" applyProtection="1">
      <alignment vertical="center" wrapText="1"/>
      <protection hidden="1"/>
    </xf>
    <xf numFmtId="0" fontId="0" fillId="3" borderId="221" xfId="0" applyFill="1" applyBorder="1" applyAlignment="1" applyProtection="1">
      <alignment vertical="center" wrapText="1"/>
      <protection hidden="1"/>
    </xf>
    <xf numFmtId="0" fontId="0" fillId="3" borderId="73" xfId="0" applyFill="1" applyBorder="1" applyAlignment="1" applyProtection="1">
      <alignment vertical="center" wrapText="1"/>
      <protection hidden="1"/>
    </xf>
    <xf numFmtId="0" fontId="0" fillId="3" borderId="217" xfId="0" applyFill="1" applyBorder="1" applyAlignment="1" applyProtection="1">
      <alignment vertical="center" wrapText="1"/>
      <protection hidden="1"/>
    </xf>
    <xf numFmtId="0" fontId="0" fillId="3" borderId="91" xfId="0" applyFill="1" applyBorder="1" applyAlignment="1" applyProtection="1">
      <alignment vertical="center" wrapText="1"/>
      <protection hidden="1"/>
    </xf>
    <xf numFmtId="0" fontId="0" fillId="3" borderId="82" xfId="0" applyFill="1" applyBorder="1" applyAlignment="1" applyProtection="1">
      <alignment vertical="center" wrapText="1"/>
      <protection hidden="1"/>
    </xf>
    <xf numFmtId="0" fontId="4" fillId="3" borderId="131" xfId="0" applyFont="1" applyFill="1" applyBorder="1" applyAlignment="1" applyProtection="1">
      <alignment horizontal="center" vertical="center" wrapText="1"/>
      <protection hidden="1"/>
    </xf>
    <xf numFmtId="0" fontId="17" fillId="3" borderId="132" xfId="0" applyFont="1" applyFill="1" applyBorder="1" applyAlignment="1" applyProtection="1">
      <alignment horizontal="left" vertical="top" wrapText="1"/>
      <protection hidden="1"/>
    </xf>
    <xf numFmtId="0" fontId="17" fillId="3" borderId="131" xfId="0" applyFont="1" applyFill="1" applyBorder="1" applyAlignment="1" applyProtection="1">
      <alignment horizontal="left" vertical="top" wrapText="1"/>
      <protection hidden="1"/>
    </xf>
    <xf numFmtId="0" fontId="0" fillId="9" borderId="100" xfId="0" applyFill="1" applyBorder="1" applyAlignment="1" applyProtection="1">
      <alignment horizontal="left" vertical="center" indent="1"/>
      <protection hidden="1"/>
    </xf>
    <xf numFmtId="0" fontId="0" fillId="10" borderId="99" xfId="0" applyFill="1" applyBorder="1" applyAlignment="1" applyProtection="1">
      <alignment horizontal="left" vertical="center" indent="1"/>
      <protection hidden="1"/>
    </xf>
    <xf numFmtId="164" fontId="36" fillId="9" borderId="0" xfId="0" applyNumberFormat="1" applyFont="1" applyFill="1" applyAlignment="1" applyProtection="1">
      <alignment horizontal="center" vertical="center"/>
      <protection hidden="1"/>
    </xf>
    <xf numFmtId="164" fontId="2" fillId="9" borderId="0" xfId="0" applyNumberFormat="1" applyFont="1" applyFill="1" applyAlignment="1" applyProtection="1">
      <alignment horizontal="center" vertical="center"/>
      <protection hidden="1"/>
    </xf>
    <xf numFmtId="0" fontId="2" fillId="3" borderId="0" xfId="0" applyFont="1" applyFill="1" applyAlignment="1" applyProtection="1">
      <alignment horizontal="center" vertical="top"/>
      <protection hidden="1"/>
    </xf>
    <xf numFmtId="0" fontId="0" fillId="9" borderId="10" xfId="0" applyFill="1" applyBorder="1" applyAlignment="1" applyProtection="1">
      <alignment horizontal="center" vertical="center"/>
      <protection hidden="1"/>
    </xf>
    <xf numFmtId="0" fontId="0" fillId="9" borderId="11" xfId="0" applyFill="1" applyBorder="1" applyAlignment="1" applyProtection="1">
      <alignment horizontal="center" vertical="center"/>
      <protection hidden="1"/>
    </xf>
    <xf numFmtId="166" fontId="4" fillId="10" borderId="189" xfId="0" applyNumberFormat="1" applyFont="1" applyFill="1" applyBorder="1" applyAlignment="1" applyProtection="1">
      <alignment horizontal="center" vertical="center" wrapText="1"/>
      <protection hidden="1"/>
    </xf>
    <xf numFmtId="166" fontId="4" fillId="10" borderId="135" xfId="0" applyNumberFormat="1" applyFont="1" applyFill="1" applyBorder="1" applyAlignment="1" applyProtection="1">
      <alignment horizontal="center" vertical="center" wrapText="1"/>
      <protection hidden="1"/>
    </xf>
    <xf numFmtId="164" fontId="50" fillId="18" borderId="0" xfId="0" applyNumberFormat="1" applyFont="1" applyFill="1" applyAlignment="1" applyProtection="1">
      <alignment horizontal="center" vertical="center"/>
      <protection hidden="1"/>
    </xf>
    <xf numFmtId="164" fontId="4" fillId="13" borderId="189" xfId="0" applyNumberFormat="1" applyFont="1" applyFill="1" applyBorder="1" applyAlignment="1" applyProtection="1">
      <alignment horizontal="center" vertical="center" wrapText="1"/>
      <protection hidden="1"/>
    </xf>
    <xf numFmtId="164" fontId="4" fillId="13" borderId="135" xfId="0" applyNumberFormat="1" applyFont="1" applyFill="1" applyBorder="1" applyAlignment="1" applyProtection="1">
      <alignment horizontal="center" vertical="center" wrapText="1"/>
      <protection hidden="1"/>
    </xf>
    <xf numFmtId="0" fontId="2" fillId="9" borderId="0" xfId="0" applyFont="1" applyFill="1" applyAlignment="1" applyProtection="1">
      <alignment horizontal="center" vertical="center"/>
      <protection hidden="1"/>
    </xf>
    <xf numFmtId="0" fontId="30" fillId="3" borderId="137" xfId="0" applyFont="1" applyFill="1" applyBorder="1" applyAlignment="1" applyProtection="1">
      <alignment horizontal="center" vertical="center"/>
      <protection hidden="1"/>
    </xf>
    <xf numFmtId="0" fontId="38" fillId="3" borderId="72" xfId="0" applyFont="1" applyFill="1" applyBorder="1" applyAlignment="1" applyProtection="1">
      <alignment horizontal="right" vertical="center" indent="1"/>
      <protection hidden="1"/>
    </xf>
    <xf numFmtId="0" fontId="38" fillId="3" borderId="212" xfId="0" applyFont="1" applyFill="1" applyBorder="1" applyAlignment="1" applyProtection="1">
      <alignment horizontal="right" vertical="center" indent="1"/>
      <protection hidden="1"/>
    </xf>
    <xf numFmtId="0" fontId="38" fillId="3" borderId="210" xfId="0" applyFont="1" applyFill="1" applyBorder="1" applyAlignment="1" applyProtection="1">
      <alignment horizontal="right" vertical="center" indent="1"/>
      <protection hidden="1"/>
    </xf>
    <xf numFmtId="0" fontId="65" fillId="15" borderId="211" xfId="0" applyFont="1" applyFill="1" applyBorder="1" applyAlignment="1" applyProtection="1">
      <alignment horizontal="right" vertical="center" indent="1"/>
      <protection hidden="1"/>
    </xf>
    <xf numFmtId="0" fontId="65" fillId="15" borderId="210" xfId="0" applyFont="1" applyFill="1" applyBorder="1" applyAlignment="1" applyProtection="1">
      <alignment horizontal="right" vertical="center" indent="1"/>
      <protection hidden="1"/>
    </xf>
    <xf numFmtId="0" fontId="38" fillId="3" borderId="232" xfId="0" applyFont="1" applyFill="1" applyBorder="1" applyAlignment="1" applyProtection="1">
      <alignment horizontal="right" vertical="center" indent="1"/>
      <protection hidden="1"/>
    </xf>
    <xf numFmtId="0" fontId="38" fillId="3" borderId="225" xfId="0" applyFont="1" applyFill="1" applyBorder="1" applyAlignment="1" applyProtection="1">
      <alignment horizontal="right" vertical="center" indent="1"/>
      <protection hidden="1"/>
    </xf>
    <xf numFmtId="0" fontId="17" fillId="9" borderId="15" xfId="0" applyFont="1" applyFill="1" applyBorder="1" applyAlignment="1" applyProtection="1">
      <alignment horizontal="right" vertical="center" wrapText="1" indent="1"/>
      <protection hidden="1"/>
    </xf>
    <xf numFmtId="0" fontId="4" fillId="13" borderId="130" xfId="0" applyFont="1" applyFill="1" applyBorder="1" applyAlignment="1" applyProtection="1">
      <alignment horizontal="center" vertical="center" wrapText="1"/>
      <protection hidden="1"/>
    </xf>
    <xf numFmtId="0" fontId="4" fillId="13" borderId="135" xfId="0" applyFont="1" applyFill="1" applyBorder="1" applyAlignment="1" applyProtection="1">
      <alignment horizontal="center" vertical="center" wrapText="1"/>
      <protection hidden="1"/>
    </xf>
    <xf numFmtId="0" fontId="47" fillId="10" borderId="133" xfId="0" applyFont="1" applyFill="1" applyBorder="1" applyAlignment="1" applyProtection="1">
      <alignment horizontal="center" vertical="center" wrapText="1"/>
      <protection hidden="1"/>
    </xf>
    <xf numFmtId="0" fontId="47" fillId="10" borderId="129" xfId="0" applyFont="1" applyFill="1" applyBorder="1" applyAlignment="1" applyProtection="1">
      <alignment horizontal="center" vertical="center" wrapText="1"/>
      <protection hidden="1"/>
    </xf>
    <xf numFmtId="166" fontId="4" fillId="10" borderId="128" xfId="0" applyNumberFormat="1" applyFont="1" applyFill="1" applyBorder="1" applyAlignment="1" applyProtection="1">
      <alignment horizontal="center" vertical="center" wrapText="1"/>
      <protection hidden="1"/>
    </xf>
    <xf numFmtId="166" fontId="4" fillId="10" borderId="129" xfId="0" applyNumberFormat="1" applyFont="1" applyFill="1" applyBorder="1" applyAlignment="1" applyProtection="1">
      <alignment horizontal="center" vertical="center" wrapText="1"/>
      <protection hidden="1"/>
    </xf>
    <xf numFmtId="0" fontId="121" fillId="9" borderId="457" xfId="3" applyFont="1" applyFill="1" applyBorder="1" applyProtection="1">
      <alignment horizontal="left" vertical="center" indent="1"/>
      <protection hidden="1"/>
    </xf>
    <xf numFmtId="0" fontId="121" fillId="9" borderId="459" xfId="3" applyFont="1" applyFill="1" applyBorder="1" applyProtection="1">
      <alignment horizontal="left" vertical="center" indent="1"/>
      <protection hidden="1"/>
    </xf>
    <xf numFmtId="0" fontId="13" fillId="3" borderId="249" xfId="0" applyFont="1" applyFill="1" applyBorder="1" applyAlignment="1" applyProtection="1">
      <alignment horizontal="left" vertical="center" indent="1"/>
      <protection hidden="1"/>
    </xf>
    <xf numFmtId="0" fontId="13" fillId="3" borderId="265" xfId="0" applyFont="1" applyFill="1" applyBorder="1" applyAlignment="1" applyProtection="1">
      <alignment horizontal="left" vertical="center" indent="1"/>
      <protection hidden="1"/>
    </xf>
    <xf numFmtId="0" fontId="13" fillId="3" borderId="246" xfId="0" applyFont="1" applyFill="1" applyBorder="1" applyAlignment="1" applyProtection="1">
      <alignment horizontal="left" vertical="center" indent="1"/>
      <protection hidden="1"/>
    </xf>
    <xf numFmtId="6" fontId="8" fillId="22" borderId="274" xfId="4" applyNumberFormat="1" applyFont="1" applyFill="1" applyBorder="1" applyProtection="1">
      <alignment horizontal="right" vertical="center" indent="1"/>
      <protection hidden="1"/>
    </xf>
    <xf numFmtId="6" fontId="15" fillId="22" borderId="0" xfId="4" applyNumberFormat="1" applyFont="1" applyFill="1" applyBorder="1" applyProtection="1">
      <alignment horizontal="right" vertical="center" indent="1"/>
      <protection hidden="1"/>
    </xf>
    <xf numFmtId="0" fontId="8" fillId="22" borderId="274" xfId="0" applyFont="1" applyFill="1" applyBorder="1" applyAlignment="1" applyProtection="1">
      <alignment horizontal="left" vertical="center" indent="1"/>
      <protection hidden="1"/>
    </xf>
    <xf numFmtId="0" fontId="15" fillId="22" borderId="0" xfId="0" applyFont="1" applyFill="1" applyAlignment="1" applyProtection="1">
      <alignment horizontal="left" vertical="center" indent="1"/>
      <protection hidden="1"/>
    </xf>
    <xf numFmtId="0" fontId="72" fillId="10" borderId="0" xfId="0" applyFont="1" applyFill="1" applyAlignment="1" applyProtection="1">
      <alignment horizontal="center" vertical="center"/>
      <protection hidden="1"/>
    </xf>
    <xf numFmtId="0" fontId="72" fillId="10" borderId="252" xfId="0" applyFont="1" applyFill="1" applyBorder="1" applyAlignment="1" applyProtection="1">
      <alignment horizontal="center" vertical="center"/>
      <protection hidden="1"/>
    </xf>
    <xf numFmtId="0" fontId="72" fillId="10" borderId="253" xfId="0" applyFont="1" applyFill="1" applyBorder="1" applyAlignment="1" applyProtection="1">
      <alignment horizontal="center" vertical="center"/>
      <protection hidden="1"/>
    </xf>
    <xf numFmtId="0" fontId="2" fillId="3" borderId="271" xfId="0" applyFont="1" applyFill="1" applyBorder="1" applyAlignment="1" applyProtection="1">
      <alignment horizontal="left" vertical="center" indent="1"/>
      <protection hidden="1"/>
    </xf>
    <xf numFmtId="0" fontId="2" fillId="3" borderId="273" xfId="0" applyFont="1" applyFill="1" applyBorder="1" applyAlignment="1" applyProtection="1">
      <alignment horizontal="left" vertical="center" indent="1"/>
      <protection hidden="1"/>
    </xf>
    <xf numFmtId="6" fontId="74" fillId="22" borderId="271" xfId="4" applyNumberFormat="1" applyFont="1" applyFill="1" applyBorder="1" applyProtection="1">
      <alignment horizontal="right" vertical="center" indent="1"/>
      <protection hidden="1"/>
    </xf>
    <xf numFmtId="6" fontId="74" fillId="22" borderId="276" xfId="4" applyNumberFormat="1" applyFont="1" applyFill="1" applyBorder="1" applyProtection="1">
      <alignment horizontal="right" vertical="center" indent="1"/>
      <protection hidden="1"/>
    </xf>
    <xf numFmtId="0" fontId="0" fillId="3" borderId="260" xfId="0" applyFill="1" applyBorder="1" applyAlignment="1" applyProtection="1">
      <alignment horizontal="left" vertical="center" indent="1"/>
      <protection hidden="1"/>
    </xf>
    <xf numFmtId="6" fontId="75" fillId="22" borderId="260" xfId="4" applyNumberFormat="1" applyFont="1" applyFill="1" applyBorder="1" applyProtection="1">
      <alignment horizontal="right" vertical="center" indent="1"/>
      <protection hidden="1"/>
    </xf>
    <xf numFmtId="6" fontId="75" fillId="22" borderId="270" xfId="4" applyNumberFormat="1" applyFont="1" applyFill="1" applyBorder="1" applyProtection="1">
      <alignment horizontal="right" vertical="center" indent="1"/>
      <protection hidden="1"/>
    </xf>
    <xf numFmtId="9" fontId="15" fillId="0" borderId="261" xfId="4" applyNumberFormat="1" applyFont="1" applyFill="1" applyBorder="1" applyProtection="1">
      <alignment horizontal="right" vertical="center" indent="1"/>
      <protection hidden="1"/>
    </xf>
    <xf numFmtId="9" fontId="15" fillId="0" borderId="262" xfId="4" applyNumberFormat="1" applyFont="1" applyFill="1" applyBorder="1" applyProtection="1">
      <alignment horizontal="right" vertical="center" indent="1"/>
      <protection hidden="1"/>
    </xf>
    <xf numFmtId="0" fontId="0" fillId="3" borderId="247" xfId="0" applyFill="1" applyBorder="1" applyAlignment="1" applyProtection="1">
      <alignment horizontal="left" vertical="center" indent="1"/>
      <protection hidden="1"/>
    </xf>
    <xf numFmtId="0" fontId="0" fillId="3" borderId="261" xfId="0" applyFill="1" applyBorder="1" applyAlignment="1" applyProtection="1">
      <alignment horizontal="left" vertical="center" indent="1"/>
      <protection hidden="1"/>
    </xf>
    <xf numFmtId="0" fontId="15" fillId="7" borderId="249" xfId="0" applyFont="1" applyFill="1" applyBorder="1" applyAlignment="1" applyProtection="1">
      <alignment horizontal="center" vertical="center"/>
      <protection locked="0" hidden="1"/>
    </xf>
    <xf numFmtId="0" fontId="15" fillId="7" borderId="246" xfId="0" applyFont="1" applyFill="1" applyBorder="1" applyAlignment="1" applyProtection="1">
      <alignment horizontal="center" vertical="center"/>
      <protection locked="0" hidden="1"/>
    </xf>
    <xf numFmtId="0" fontId="15" fillId="3" borderId="0" xfId="3" applyFont="1" applyFill="1" applyBorder="1" applyProtection="1">
      <alignment horizontal="left" vertical="center" indent="1"/>
      <protection hidden="1"/>
    </xf>
    <xf numFmtId="0" fontId="15" fillId="3" borderId="451" xfId="3" applyFont="1" applyFill="1" applyBorder="1" applyProtection="1">
      <alignment horizontal="left" vertical="center" indent="1"/>
      <protection hidden="1"/>
    </xf>
    <xf numFmtId="3" fontId="15" fillId="0" borderId="0" xfId="3" applyNumberFormat="1" applyFont="1" applyFill="1" applyBorder="1" applyProtection="1">
      <alignment horizontal="left" vertical="center" indent="1"/>
      <protection hidden="1"/>
    </xf>
    <xf numFmtId="3" fontId="15" fillId="0" borderId="73" xfId="3" applyNumberFormat="1" applyFont="1" applyFill="1" applyBorder="1" applyProtection="1">
      <alignment horizontal="left" vertical="center" indent="1"/>
      <protection hidden="1"/>
    </xf>
    <xf numFmtId="0" fontId="15" fillId="6" borderId="452" xfId="0" applyFont="1" applyFill="1" applyBorder="1" applyAlignment="1" applyProtection="1">
      <alignment horizontal="center" vertical="center"/>
      <protection hidden="1"/>
    </xf>
    <xf numFmtId="0" fontId="15" fillId="6" borderId="16" xfId="0" applyFont="1" applyFill="1" applyBorder="1" applyAlignment="1" applyProtection="1">
      <alignment horizontal="center" vertical="center"/>
      <protection hidden="1"/>
    </xf>
    <xf numFmtId="0" fontId="94" fillId="9" borderId="0" xfId="3" applyFont="1" applyFill="1" applyBorder="1" applyAlignment="1" applyProtection="1">
      <alignment horizontal="left" vertical="center" indent="5"/>
      <protection hidden="1"/>
    </xf>
    <xf numFmtId="0" fontId="122" fillId="9" borderId="457" xfId="3" applyFont="1" applyFill="1" applyBorder="1" applyProtection="1">
      <alignment horizontal="left" vertical="center" indent="1"/>
      <protection hidden="1"/>
    </xf>
    <xf numFmtId="0" fontId="0" fillId="3" borderId="255" xfId="0" applyFill="1" applyBorder="1" applyAlignment="1" applyProtection="1">
      <alignment horizontal="left" vertical="center" indent="1"/>
      <protection hidden="1"/>
    </xf>
    <xf numFmtId="0" fontId="0" fillId="3" borderId="275" xfId="0" applyFill="1" applyBorder="1" applyAlignment="1" applyProtection="1">
      <alignment horizontal="left" vertical="center" indent="1"/>
      <protection hidden="1"/>
    </xf>
    <xf numFmtId="0" fontId="0" fillId="3" borderId="256" xfId="0" applyFill="1" applyBorder="1" applyAlignment="1" applyProtection="1">
      <alignment horizontal="left" vertical="center" indent="1"/>
      <protection hidden="1"/>
    </xf>
    <xf numFmtId="0" fontId="0" fillId="3" borderId="249" xfId="0" applyFill="1" applyBorder="1" applyAlignment="1" applyProtection="1">
      <alignment horizontal="left" vertical="center" indent="1"/>
      <protection hidden="1"/>
    </xf>
    <xf numFmtId="0" fontId="0" fillId="3" borderId="265" xfId="0" applyFill="1" applyBorder="1" applyAlignment="1" applyProtection="1">
      <alignment horizontal="left" vertical="center" indent="1"/>
      <protection hidden="1"/>
    </xf>
    <xf numFmtId="0" fontId="0" fillId="3" borderId="246" xfId="0" applyFill="1" applyBorder="1" applyAlignment="1" applyProtection="1">
      <alignment horizontal="left" vertical="center" indent="1"/>
      <protection hidden="1"/>
    </xf>
    <xf numFmtId="0" fontId="122" fillId="9" borderId="459" xfId="3" applyFont="1" applyFill="1" applyBorder="1" applyProtection="1">
      <alignment horizontal="left" vertical="center" indent="1"/>
      <protection hidden="1"/>
    </xf>
    <xf numFmtId="0" fontId="121" fillId="9" borderId="462" xfId="3" applyFont="1" applyFill="1" applyBorder="1" applyProtection="1">
      <alignment horizontal="left" vertical="center" indent="1"/>
      <protection hidden="1"/>
    </xf>
    <xf numFmtId="0" fontId="121" fillId="9" borderId="461" xfId="3" applyFont="1" applyFill="1" applyBorder="1" applyProtection="1">
      <alignment horizontal="left" vertical="center" indent="1"/>
      <protection hidden="1"/>
    </xf>
    <xf numFmtId="164" fontId="74" fillId="22" borderId="387" xfId="4" applyNumberFormat="1" applyFont="1" applyFill="1" applyBorder="1" applyAlignment="1" applyProtection="1">
      <alignment horizontal="center" vertical="center"/>
      <protection hidden="1"/>
    </xf>
    <xf numFmtId="164" fontId="74" fillId="22" borderId="388" xfId="4" applyNumberFormat="1" applyFont="1" applyFill="1" applyBorder="1" applyAlignment="1" applyProtection="1">
      <alignment horizontal="center" vertical="center"/>
      <protection hidden="1"/>
    </xf>
    <xf numFmtId="164" fontId="0" fillId="6" borderId="427" xfId="4" applyNumberFormat="1" applyFont="1" applyFill="1" applyBorder="1" applyAlignment="1" applyProtection="1">
      <alignment horizontal="center" vertical="center"/>
      <protection locked="0" hidden="1"/>
    </xf>
    <xf numFmtId="164" fontId="0" fillId="6" borderId="428" xfId="4" applyNumberFormat="1" applyFont="1" applyFill="1" applyBorder="1" applyAlignment="1" applyProtection="1">
      <alignment horizontal="center" vertical="center"/>
      <protection locked="0" hidden="1"/>
    </xf>
    <xf numFmtId="3" fontId="15" fillId="0" borderId="248" xfId="4" applyNumberFormat="1" applyFont="1" applyFill="1" applyBorder="1" applyProtection="1">
      <alignment horizontal="right" vertical="center" indent="1"/>
      <protection hidden="1"/>
    </xf>
    <xf numFmtId="0" fontId="0" fillId="3" borderId="261" xfId="3" applyFont="1" applyFill="1" applyBorder="1" applyProtection="1">
      <alignment horizontal="left" vertical="center" indent="1"/>
      <protection hidden="1"/>
    </xf>
    <xf numFmtId="0" fontId="0" fillId="3" borderId="264" xfId="3" applyFont="1" applyFill="1" applyBorder="1" applyProtection="1">
      <alignment horizontal="left" vertical="center" indent="1"/>
      <protection hidden="1"/>
    </xf>
    <xf numFmtId="6" fontId="15" fillId="8" borderId="249" xfId="4" applyNumberFormat="1" applyFont="1" applyFill="1" applyBorder="1" applyProtection="1">
      <alignment horizontal="right" vertical="center" indent="1"/>
      <protection locked="0" hidden="1"/>
    </xf>
    <xf numFmtId="6" fontId="15" fillId="8" borderId="246" xfId="4" applyNumberFormat="1" applyFont="1" applyFill="1" applyBorder="1" applyProtection="1">
      <alignment horizontal="right" vertical="center" indent="1"/>
      <protection locked="0" hidden="1"/>
    </xf>
    <xf numFmtId="3" fontId="15" fillId="0" borderId="249" xfId="3" applyNumberFormat="1" applyFont="1" applyFill="1" applyBorder="1" applyProtection="1">
      <alignment horizontal="left" vertical="center" indent="1"/>
      <protection hidden="1"/>
    </xf>
    <xf numFmtId="3" fontId="15" fillId="0" borderId="246" xfId="3" applyNumberFormat="1" applyFont="1" applyFill="1" applyBorder="1" applyProtection="1">
      <alignment horizontal="left" vertical="center" indent="1"/>
      <protection hidden="1"/>
    </xf>
    <xf numFmtId="6" fontId="75" fillId="22" borderId="300" xfId="4" applyNumberFormat="1" applyFont="1" applyFill="1" applyBorder="1" applyProtection="1">
      <alignment horizontal="right" vertical="center" indent="1"/>
      <protection hidden="1"/>
    </xf>
    <xf numFmtId="6" fontId="75" fillId="22" borderId="80" xfId="4" applyNumberFormat="1" applyFont="1" applyFill="1" applyBorder="1" applyProtection="1">
      <alignment horizontal="right" vertical="center" indent="1"/>
      <protection hidden="1"/>
    </xf>
    <xf numFmtId="0" fontId="0" fillId="3" borderId="255" xfId="3" applyFont="1" applyFill="1" applyBorder="1" applyProtection="1">
      <alignment horizontal="left" vertical="center" indent="1"/>
      <protection hidden="1"/>
    </xf>
    <xf numFmtId="0" fontId="0" fillId="3" borderId="275" xfId="3" applyFont="1" applyFill="1" applyBorder="1" applyProtection="1">
      <alignment horizontal="left" vertical="center" indent="1"/>
      <protection hidden="1"/>
    </xf>
    <xf numFmtId="0" fontId="0" fillId="3" borderId="249" xfId="3" applyFont="1" applyFill="1" applyBorder="1" applyProtection="1">
      <alignment horizontal="left" vertical="center" indent="1"/>
      <protection hidden="1"/>
    </xf>
    <xf numFmtId="0" fontId="0" fillId="3" borderId="265" xfId="3" applyFont="1" applyFill="1" applyBorder="1" applyProtection="1">
      <alignment horizontal="left" vertical="center" indent="1"/>
      <protection hidden="1"/>
    </xf>
    <xf numFmtId="0" fontId="3" fillId="3" borderId="265" xfId="4" applyFont="1" applyFill="1" applyBorder="1" applyAlignment="1" applyProtection="1">
      <alignment horizontal="center" vertical="center"/>
      <protection hidden="1"/>
    </xf>
    <xf numFmtId="0" fontId="3" fillId="3" borderId="246" xfId="4" applyFont="1" applyFill="1" applyBorder="1" applyAlignment="1" applyProtection="1">
      <alignment horizontal="center" vertical="center"/>
      <protection hidden="1"/>
    </xf>
    <xf numFmtId="0" fontId="3" fillId="3" borderId="137" xfId="4" applyFont="1" applyFill="1" applyBorder="1" applyAlignment="1" applyProtection="1">
      <alignment horizontal="center" vertical="center"/>
      <protection hidden="1"/>
    </xf>
    <xf numFmtId="0" fontId="3" fillId="3" borderId="293" xfId="4" applyFont="1" applyFill="1" applyBorder="1" applyAlignment="1" applyProtection="1">
      <alignment horizontal="center" vertical="center"/>
      <protection hidden="1"/>
    </xf>
    <xf numFmtId="0" fontId="0" fillId="3" borderId="248" xfId="0" applyFill="1" applyBorder="1" applyAlignment="1" applyProtection="1">
      <alignment horizontal="left" vertical="center" indent="1"/>
      <protection hidden="1"/>
    </xf>
    <xf numFmtId="6" fontId="75" fillId="22" borderId="247" xfId="4" applyNumberFormat="1" applyFont="1" applyFill="1" applyBorder="1" applyProtection="1">
      <alignment horizontal="right" vertical="center" indent="1"/>
      <protection hidden="1"/>
    </xf>
    <xf numFmtId="6" fontId="75" fillId="22" borderId="251" xfId="4" applyNumberFormat="1" applyFont="1" applyFill="1" applyBorder="1" applyProtection="1">
      <alignment horizontal="right" vertical="center" indent="1"/>
      <protection hidden="1"/>
    </xf>
    <xf numFmtId="3" fontId="15" fillId="0" borderId="247" xfId="4" applyNumberFormat="1" applyFont="1" applyFill="1" applyBorder="1" applyAlignment="1" applyProtection="1">
      <alignment horizontal="center" vertical="center"/>
      <protection hidden="1"/>
    </xf>
    <xf numFmtId="164" fontId="78" fillId="9" borderId="0" xfId="0" applyNumberFormat="1" applyFont="1" applyFill="1" applyAlignment="1" applyProtection="1">
      <alignment horizontal="center" vertical="center"/>
      <protection hidden="1"/>
    </xf>
    <xf numFmtId="172" fontId="78" fillId="9" borderId="0" xfId="0" applyNumberFormat="1" applyFont="1" applyFill="1" applyAlignment="1" applyProtection="1">
      <alignment horizontal="center" vertical="center"/>
      <protection hidden="1"/>
    </xf>
    <xf numFmtId="0" fontId="77" fillId="22" borderId="274" xfId="3" applyFont="1" applyFill="1" applyBorder="1" applyProtection="1">
      <alignment horizontal="left" vertical="center" indent="1"/>
      <protection hidden="1"/>
    </xf>
    <xf numFmtId="0" fontId="77" fillId="22" borderId="290" xfId="3" applyFont="1" applyFill="1" applyBorder="1" applyProtection="1">
      <alignment horizontal="left" vertical="center" indent="1"/>
      <protection hidden="1"/>
    </xf>
    <xf numFmtId="3" fontId="15" fillId="0" borderId="256" xfId="4" applyNumberFormat="1" applyFont="1" applyFill="1" applyBorder="1" applyProtection="1">
      <alignment horizontal="right" vertical="center" indent="1"/>
      <protection hidden="1"/>
    </xf>
    <xf numFmtId="9" fontId="15" fillId="0" borderId="260" xfId="4" applyNumberFormat="1" applyFont="1" applyFill="1" applyBorder="1" applyProtection="1">
      <alignment horizontal="right" vertical="center" indent="1"/>
      <protection hidden="1"/>
    </xf>
    <xf numFmtId="6" fontId="75" fillId="22" borderId="281" xfId="4" applyNumberFormat="1" applyFont="1" applyFill="1" applyBorder="1" applyProtection="1">
      <alignment horizontal="right" vertical="center" indent="1"/>
      <protection hidden="1"/>
    </xf>
    <xf numFmtId="6" fontId="75" fillId="22" borderId="222" xfId="4" applyNumberFormat="1" applyFont="1" applyFill="1" applyBorder="1" applyProtection="1">
      <alignment horizontal="right" vertical="center" indent="1"/>
      <protection hidden="1"/>
    </xf>
    <xf numFmtId="6" fontId="15" fillId="6" borderId="248" xfId="4" applyNumberFormat="1" applyFont="1" applyFill="1" applyBorder="1" applyProtection="1">
      <alignment horizontal="right" vertical="center" indent="1"/>
      <protection locked="0" hidden="1"/>
    </xf>
    <xf numFmtId="168" fontId="15" fillId="8" borderId="260" xfId="4" applyNumberFormat="1" applyFont="1" applyFill="1" applyBorder="1" applyProtection="1">
      <alignment horizontal="right" vertical="center" indent="1"/>
      <protection locked="0" hidden="1"/>
    </xf>
    <xf numFmtId="6" fontId="77" fillId="22" borderId="274" xfId="4" applyNumberFormat="1" applyFont="1" applyFill="1" applyBorder="1" applyProtection="1">
      <alignment horizontal="right" vertical="center" indent="1"/>
      <protection hidden="1"/>
    </xf>
    <xf numFmtId="0" fontId="76" fillId="3" borderId="285" xfId="3" applyFont="1" applyFill="1" applyBorder="1" applyProtection="1">
      <alignment horizontal="left" vertical="center" indent="1"/>
      <protection hidden="1"/>
    </xf>
    <xf numFmtId="0" fontId="76" fillId="3" borderId="283" xfId="3" applyFont="1" applyFill="1" applyBorder="1" applyProtection="1">
      <alignment horizontal="left" vertical="center" indent="1"/>
      <protection hidden="1"/>
    </xf>
    <xf numFmtId="0" fontId="76" fillId="3" borderId="284" xfId="3" applyFont="1" applyFill="1" applyBorder="1" applyProtection="1">
      <alignment horizontal="left" vertical="center" indent="1"/>
      <protection hidden="1"/>
    </xf>
    <xf numFmtId="0" fontId="76" fillId="3" borderId="286" xfId="3" applyFont="1" applyFill="1" applyBorder="1" applyProtection="1">
      <alignment horizontal="left" vertical="center" indent="1"/>
      <protection hidden="1"/>
    </xf>
    <xf numFmtId="0" fontId="76" fillId="3" borderId="281" xfId="3" applyFont="1" applyFill="1" applyBorder="1" applyProtection="1">
      <alignment horizontal="left" vertical="center" indent="1"/>
      <protection hidden="1"/>
    </xf>
    <xf numFmtId="0" fontId="76" fillId="3" borderId="282" xfId="3" applyFont="1" applyFill="1" applyBorder="1" applyProtection="1">
      <alignment horizontal="left" vertical="center" indent="1"/>
      <protection hidden="1"/>
    </xf>
    <xf numFmtId="0" fontId="82" fillId="6" borderId="255" xfId="3" applyFont="1" applyFill="1" applyBorder="1" applyProtection="1">
      <alignment horizontal="left" vertical="center" indent="1"/>
      <protection locked="0"/>
    </xf>
    <xf numFmtId="0" fontId="82" fillId="6" borderId="275" xfId="3" applyFont="1" applyFill="1" applyBorder="1" applyProtection="1">
      <alignment horizontal="left" vertical="center" indent="1"/>
      <protection locked="0"/>
    </xf>
    <xf numFmtId="0" fontId="2" fillId="3" borderId="282" xfId="3" applyFont="1" applyFill="1" applyBorder="1" applyProtection="1">
      <alignment horizontal="left" vertical="center" indent="1"/>
      <protection hidden="1"/>
    </xf>
    <xf numFmtId="0" fontId="2" fillId="3" borderId="18" xfId="3" applyFont="1" applyFill="1" applyBorder="1" applyProtection="1">
      <alignment horizontal="left" vertical="center" indent="1"/>
      <protection hidden="1"/>
    </xf>
    <xf numFmtId="0" fontId="2" fillId="3" borderId="286" xfId="3" applyFont="1" applyFill="1" applyBorder="1" applyProtection="1">
      <alignment horizontal="left" vertical="center" indent="1"/>
      <protection hidden="1"/>
    </xf>
    <xf numFmtId="0" fontId="15" fillId="9" borderId="0" xfId="4" applyFont="1" applyFill="1" applyBorder="1" applyAlignment="1" applyProtection="1">
      <alignment horizontal="left" vertical="center" wrapText="1"/>
      <protection hidden="1"/>
    </xf>
    <xf numFmtId="0" fontId="15" fillId="9" borderId="5" xfId="4" applyFont="1" applyFill="1" applyBorder="1" applyAlignment="1" applyProtection="1">
      <alignment horizontal="left" vertical="center" wrapText="1"/>
      <protection hidden="1"/>
    </xf>
    <xf numFmtId="3" fontId="15" fillId="0" borderId="246" xfId="4" applyNumberFormat="1" applyFont="1" applyFill="1" applyBorder="1" applyProtection="1">
      <alignment horizontal="right" vertical="center" indent="1"/>
      <protection hidden="1"/>
    </xf>
    <xf numFmtId="3" fontId="15" fillId="0" borderId="247" xfId="4" applyNumberFormat="1" applyFont="1" applyFill="1" applyBorder="1" applyProtection="1">
      <alignment horizontal="right" vertical="center" indent="1"/>
      <protection hidden="1"/>
    </xf>
    <xf numFmtId="3" fontId="15" fillId="0" borderId="262" xfId="4" applyNumberFormat="1" applyFont="1" applyFill="1" applyBorder="1" applyProtection="1">
      <alignment horizontal="right" vertical="center" indent="1"/>
      <protection hidden="1"/>
    </xf>
    <xf numFmtId="3" fontId="15" fillId="0" borderId="260" xfId="4" applyNumberFormat="1" applyFont="1" applyFill="1" applyBorder="1" applyProtection="1">
      <alignment horizontal="right" vertical="center" indent="1"/>
      <protection hidden="1"/>
    </xf>
    <xf numFmtId="171" fontId="15" fillId="6" borderId="248" xfId="4" applyNumberFormat="1" applyFont="1" applyFill="1" applyBorder="1" applyProtection="1">
      <alignment horizontal="right" vertical="center" indent="1"/>
      <protection locked="0" hidden="1"/>
    </xf>
    <xf numFmtId="164" fontId="15" fillId="6" borderId="279" xfId="4" applyNumberFormat="1" applyFont="1" applyFill="1" applyBorder="1" applyProtection="1">
      <alignment horizontal="right" vertical="center" indent="1"/>
      <protection locked="0" hidden="1"/>
    </xf>
    <xf numFmtId="3" fontId="15" fillId="3" borderId="256" xfId="3" applyNumberFormat="1" applyFont="1" applyFill="1" applyBorder="1" applyProtection="1">
      <alignment horizontal="left" vertical="center" indent="1"/>
      <protection hidden="1"/>
    </xf>
    <xf numFmtId="3" fontId="15" fillId="3" borderId="255" xfId="3" applyNumberFormat="1" applyFont="1" applyFill="1" applyBorder="1" applyProtection="1">
      <alignment horizontal="left" vertical="center" indent="1"/>
      <protection hidden="1"/>
    </xf>
    <xf numFmtId="166" fontId="15" fillId="6" borderId="248" xfId="4" applyNumberFormat="1" applyFont="1" applyFill="1" applyBorder="1" applyProtection="1">
      <alignment horizontal="right" vertical="center" indent="1"/>
      <protection locked="0" hidden="1"/>
    </xf>
    <xf numFmtId="9" fontId="15" fillId="3" borderId="248" xfId="4" quotePrefix="1" applyNumberFormat="1" applyFont="1" applyFill="1" applyBorder="1" applyProtection="1">
      <alignment horizontal="right" vertical="center" indent="1"/>
      <protection hidden="1"/>
    </xf>
    <xf numFmtId="9" fontId="15" fillId="3" borderId="255" xfId="4" applyNumberFormat="1" applyFont="1" applyFill="1" applyBorder="1" applyProtection="1">
      <alignment horizontal="right" vertical="center" indent="1"/>
      <protection hidden="1"/>
    </xf>
    <xf numFmtId="164" fontId="74" fillId="22" borderId="248" xfId="4" applyNumberFormat="1" applyFont="1" applyFill="1" applyBorder="1" applyProtection="1">
      <alignment horizontal="right" vertical="center" indent="1"/>
      <protection hidden="1"/>
    </xf>
    <xf numFmtId="164" fontId="74" fillId="22" borderId="250" xfId="4" applyNumberFormat="1" applyFont="1" applyFill="1" applyBorder="1" applyProtection="1">
      <alignment horizontal="right" vertical="center" indent="1"/>
      <protection hidden="1"/>
    </xf>
    <xf numFmtId="174" fontId="74" fillId="22" borderId="260" xfId="4" applyNumberFormat="1" applyFont="1" applyFill="1" applyBorder="1" applyProtection="1">
      <alignment horizontal="right" vertical="center" indent="1"/>
      <protection hidden="1"/>
    </xf>
    <xf numFmtId="174" fontId="74" fillId="22" borderId="270" xfId="4" applyNumberFormat="1" applyFont="1" applyFill="1" applyBorder="1" applyProtection="1">
      <alignment horizontal="right" vertical="center" indent="1"/>
      <protection hidden="1"/>
    </xf>
    <xf numFmtId="0" fontId="116" fillId="3" borderId="18" xfId="2" applyFont="1" applyFill="1" applyBorder="1" applyAlignment="1" applyProtection="1">
      <alignment horizontal="center" vertical="center"/>
      <protection hidden="1"/>
    </xf>
    <xf numFmtId="0" fontId="116" fillId="3" borderId="286" xfId="2" applyFont="1" applyFill="1" applyBorder="1" applyAlignment="1" applyProtection="1">
      <alignment horizontal="center" vertical="center"/>
      <protection hidden="1"/>
    </xf>
    <xf numFmtId="6" fontId="75" fillId="22" borderId="248" xfId="4" applyNumberFormat="1" applyFont="1" applyFill="1" applyBorder="1" applyProtection="1">
      <alignment horizontal="right" vertical="center" indent="1"/>
      <protection hidden="1"/>
    </xf>
    <xf numFmtId="6" fontId="75" fillId="22" borderId="250" xfId="4" applyNumberFormat="1" applyFont="1" applyFill="1" applyBorder="1" applyProtection="1">
      <alignment horizontal="right" vertical="center" indent="1"/>
      <protection hidden="1"/>
    </xf>
    <xf numFmtId="8" fontId="15" fillId="6" borderId="248" xfId="4" applyNumberFormat="1" applyFont="1" applyFill="1" applyBorder="1" applyProtection="1">
      <alignment horizontal="right" vertical="center" indent="1"/>
      <protection locked="0" hidden="1"/>
    </xf>
    <xf numFmtId="6" fontId="15" fillId="6" borderId="247" xfId="4" applyNumberFormat="1" applyFont="1" applyFill="1" applyBorder="1" applyProtection="1">
      <alignment horizontal="right" vertical="center" indent="1"/>
      <protection locked="0" hidden="1"/>
    </xf>
    <xf numFmtId="6" fontId="15" fillId="6" borderId="260" xfId="4" applyNumberFormat="1" applyFont="1" applyFill="1" applyBorder="1" applyProtection="1">
      <alignment horizontal="right" vertical="center" indent="1"/>
      <protection locked="0" hidden="1"/>
    </xf>
    <xf numFmtId="8" fontId="15" fillId="8" borderId="247" xfId="4" applyNumberFormat="1" applyFont="1" applyFill="1" applyBorder="1" applyProtection="1">
      <alignment horizontal="right" vertical="center" indent="1"/>
      <protection locked="0" hidden="1"/>
    </xf>
    <xf numFmtId="8" fontId="15" fillId="8" borderId="260" xfId="4" applyNumberFormat="1" applyFont="1" applyFill="1" applyBorder="1" applyProtection="1">
      <alignment horizontal="right" vertical="center" indent="1"/>
      <protection locked="0" hidden="1"/>
    </xf>
    <xf numFmtId="164" fontId="15" fillId="22" borderId="248" xfId="4" applyNumberFormat="1" applyFont="1" applyFill="1" applyBorder="1" applyProtection="1">
      <alignment horizontal="right" vertical="center" indent="1"/>
      <protection hidden="1"/>
    </xf>
    <xf numFmtId="0" fontId="2" fillId="3" borderId="260" xfId="0" applyFont="1" applyFill="1" applyBorder="1" applyAlignment="1" applyProtection="1">
      <alignment horizontal="left" vertical="center" indent="1"/>
      <protection hidden="1"/>
    </xf>
    <xf numFmtId="0" fontId="2" fillId="3" borderId="261" xfId="0" applyFont="1" applyFill="1" applyBorder="1" applyAlignment="1" applyProtection="1">
      <alignment horizontal="left" vertical="center" indent="1"/>
      <protection hidden="1"/>
    </xf>
    <xf numFmtId="0" fontId="8" fillId="22" borderId="0" xfId="0" applyFont="1" applyFill="1" applyAlignment="1" applyProtection="1">
      <alignment horizontal="left" vertical="center" indent="1"/>
      <protection hidden="1"/>
    </xf>
    <xf numFmtId="0" fontId="115" fillId="3" borderId="275" xfId="0" applyFont="1" applyFill="1" applyBorder="1" applyAlignment="1" applyProtection="1">
      <alignment horizontal="right"/>
      <protection hidden="1"/>
    </xf>
    <xf numFmtId="0" fontId="115" fillId="3" borderId="256" xfId="0" applyFont="1" applyFill="1" applyBorder="1" applyAlignment="1" applyProtection="1">
      <alignment horizontal="right"/>
      <protection hidden="1"/>
    </xf>
    <xf numFmtId="0" fontId="81" fillId="4" borderId="194" xfId="0" applyFont="1" applyFill="1" applyBorder="1" applyAlignment="1" applyProtection="1">
      <alignment horizontal="center" vertical="center"/>
      <protection hidden="1"/>
    </xf>
    <xf numFmtId="164" fontId="15" fillId="6" borderId="247" xfId="4" applyNumberFormat="1" applyFont="1" applyFill="1" applyBorder="1" applyProtection="1">
      <alignment horizontal="right" vertical="center" indent="1"/>
      <protection locked="0" hidden="1"/>
    </xf>
    <xf numFmtId="3" fontId="15" fillId="0" borderId="279" xfId="4" applyNumberFormat="1" applyFont="1" applyFill="1" applyBorder="1" applyAlignment="1" applyProtection="1">
      <alignment horizontal="center" vertical="center"/>
      <protection hidden="1"/>
    </xf>
    <xf numFmtId="3" fontId="15" fillId="0" borderId="260" xfId="4" applyNumberFormat="1" applyFont="1" applyFill="1" applyBorder="1" applyAlignment="1" applyProtection="1">
      <alignment horizontal="center" vertical="center"/>
      <protection hidden="1"/>
    </xf>
    <xf numFmtId="168" fontId="15" fillId="8" borderId="248" xfId="4" applyNumberFormat="1" applyFont="1" applyFill="1" applyBorder="1" applyProtection="1">
      <alignment horizontal="right" vertical="center" indent="1"/>
      <protection locked="0" hidden="1"/>
    </xf>
    <xf numFmtId="6" fontId="15" fillId="8" borderId="247" xfId="4" applyNumberFormat="1" applyFont="1" applyFill="1" applyBorder="1" applyProtection="1">
      <alignment horizontal="right" vertical="center" indent="1"/>
      <protection locked="0" hidden="1"/>
    </xf>
    <xf numFmtId="9" fontId="15" fillId="0" borderId="248" xfId="4" applyNumberFormat="1" applyFont="1" applyFill="1" applyBorder="1" applyProtection="1">
      <alignment horizontal="right" vertical="center" indent="1"/>
      <protection hidden="1"/>
    </xf>
    <xf numFmtId="3" fontId="15" fillId="0" borderId="247" xfId="3" applyNumberFormat="1" applyFont="1" applyFill="1" applyBorder="1" applyProtection="1">
      <alignment horizontal="left" vertical="center" indent="1"/>
      <protection hidden="1"/>
    </xf>
    <xf numFmtId="6" fontId="8" fillId="22" borderId="0" xfId="4" applyNumberFormat="1" applyFont="1" applyFill="1" applyBorder="1" applyProtection="1">
      <alignment horizontal="right" vertical="center" indent="1"/>
      <protection hidden="1"/>
    </xf>
    <xf numFmtId="6" fontId="74" fillId="22" borderId="260" xfId="4" applyNumberFormat="1" applyFont="1" applyFill="1" applyBorder="1" applyProtection="1">
      <alignment horizontal="right" vertical="center" indent="1"/>
      <protection hidden="1"/>
    </xf>
    <xf numFmtId="6" fontId="74" fillId="22" borderId="270" xfId="4" applyNumberFormat="1" applyFont="1" applyFill="1" applyBorder="1" applyProtection="1">
      <alignment horizontal="right" vertical="center" indent="1"/>
      <protection hidden="1"/>
    </xf>
    <xf numFmtId="8" fontId="15" fillId="8" borderId="248" xfId="4" applyNumberFormat="1" applyFont="1" applyFill="1" applyBorder="1" applyProtection="1">
      <alignment horizontal="right" vertical="center" indent="1"/>
      <protection locked="0" hidden="1"/>
    </xf>
    <xf numFmtId="6" fontId="74" fillId="22" borderId="219" xfId="4" applyNumberFormat="1" applyFont="1" applyFill="1" applyBorder="1" applyProtection="1">
      <alignment horizontal="right" vertical="center" indent="1"/>
      <protection hidden="1"/>
    </xf>
    <xf numFmtId="6" fontId="74" fillId="22" borderId="210" xfId="4" applyNumberFormat="1" applyFont="1" applyFill="1" applyBorder="1" applyProtection="1">
      <alignment horizontal="right" vertical="center" indent="1"/>
      <protection hidden="1"/>
    </xf>
    <xf numFmtId="164" fontId="15" fillId="8" borderId="247" xfId="4" applyNumberFormat="1" applyFont="1" applyFill="1" applyBorder="1" applyProtection="1">
      <alignment horizontal="right" vertical="center" indent="1"/>
      <protection locked="0" hidden="1"/>
    </xf>
    <xf numFmtId="173" fontId="15" fillId="6" borderId="260" xfId="4" applyNumberFormat="1" applyFont="1" applyFill="1" applyBorder="1" applyProtection="1">
      <alignment horizontal="right" vertical="center" indent="1"/>
      <protection locked="0" hidden="1"/>
    </xf>
    <xf numFmtId="171" fontId="15" fillId="22" borderId="248" xfId="4" applyNumberFormat="1" applyFont="1" applyFill="1" applyBorder="1" applyProtection="1">
      <alignment horizontal="right" vertical="center" indent="1"/>
      <protection hidden="1"/>
    </xf>
    <xf numFmtId="171" fontId="15" fillId="6" borderId="247" xfId="4" applyNumberFormat="1" applyFont="1" applyFill="1" applyBorder="1" applyProtection="1">
      <alignment horizontal="right" vertical="center" indent="1"/>
      <protection locked="0" hidden="1"/>
    </xf>
    <xf numFmtId="0" fontId="2" fillId="3" borderId="219" xfId="0" applyFont="1" applyFill="1" applyBorder="1" applyAlignment="1" applyProtection="1">
      <alignment horizontal="left" vertical="center" indent="1"/>
      <protection hidden="1"/>
    </xf>
    <xf numFmtId="0" fontId="2" fillId="3" borderId="210" xfId="0" applyFont="1" applyFill="1" applyBorder="1" applyAlignment="1" applyProtection="1">
      <alignment horizontal="left" vertical="center" indent="1"/>
      <protection hidden="1"/>
    </xf>
    <xf numFmtId="0" fontId="2" fillId="3" borderId="195" xfId="0" applyFont="1" applyFill="1" applyBorder="1" applyAlignment="1" applyProtection="1">
      <alignment horizontal="left" vertical="center" indent="1"/>
      <protection hidden="1"/>
    </xf>
    <xf numFmtId="172" fontId="15" fillId="6" borderId="279" xfId="4" applyNumberFormat="1" applyFont="1" applyFill="1" applyBorder="1" applyProtection="1">
      <alignment horizontal="right" vertical="center" indent="1"/>
      <protection locked="0" hidden="1"/>
    </xf>
    <xf numFmtId="6" fontId="74" fillId="22" borderId="269" xfId="4" applyNumberFormat="1" applyFont="1" applyFill="1" applyBorder="1" applyProtection="1">
      <alignment horizontal="right" vertical="center" indent="1"/>
      <protection hidden="1"/>
    </xf>
    <xf numFmtId="0" fontId="2" fillId="3" borderId="269" xfId="0" applyFont="1" applyFill="1" applyBorder="1" applyAlignment="1" applyProtection="1">
      <alignment horizontal="left" vertical="center" indent="1"/>
      <protection hidden="1"/>
    </xf>
    <xf numFmtId="0" fontId="2" fillId="3" borderId="267" xfId="0" applyFont="1" applyFill="1" applyBorder="1" applyAlignment="1" applyProtection="1">
      <alignment horizontal="left" vertical="center" indent="1"/>
      <protection hidden="1"/>
    </xf>
    <xf numFmtId="0" fontId="2" fillId="3" borderId="281" xfId="0" applyFont="1" applyFill="1" applyBorder="1" applyAlignment="1" applyProtection="1">
      <alignment horizontal="left" vertical="center" indent="1"/>
      <protection hidden="1"/>
    </xf>
    <xf numFmtId="0" fontId="2" fillId="3" borderId="282" xfId="0" applyFont="1" applyFill="1" applyBorder="1" applyAlignment="1" applyProtection="1">
      <alignment horizontal="left" vertical="center" indent="1"/>
      <protection hidden="1"/>
    </xf>
    <xf numFmtId="6" fontId="15" fillId="6" borderId="262" xfId="4" applyNumberFormat="1" applyFont="1" applyFill="1" applyBorder="1" applyProtection="1">
      <alignment horizontal="right" vertical="center" indent="1"/>
      <protection locked="0" hidden="1"/>
    </xf>
    <xf numFmtId="6" fontId="74" fillId="22" borderId="281" xfId="4" applyNumberFormat="1" applyFont="1" applyFill="1" applyBorder="1" applyProtection="1">
      <alignment horizontal="right" vertical="center" indent="1"/>
      <protection hidden="1"/>
    </xf>
    <xf numFmtId="6" fontId="74" fillId="22" borderId="222" xfId="4" applyNumberFormat="1" applyFont="1" applyFill="1" applyBorder="1" applyProtection="1">
      <alignment horizontal="right" vertical="center" indent="1"/>
      <protection hidden="1"/>
    </xf>
    <xf numFmtId="168" fontId="79" fillId="0" borderId="256" xfId="4" applyNumberFormat="1" applyFont="1" applyFill="1" applyBorder="1" applyProtection="1">
      <alignment horizontal="right" vertical="center" indent="1"/>
      <protection hidden="1"/>
    </xf>
    <xf numFmtId="168" fontId="79" fillId="0" borderId="248" xfId="4" applyNumberFormat="1" applyFont="1" applyFill="1" applyBorder="1" applyProtection="1">
      <alignment horizontal="right" vertical="center" indent="1"/>
      <protection hidden="1"/>
    </xf>
    <xf numFmtId="168" fontId="79" fillId="0" borderId="266" xfId="4" applyNumberFormat="1" applyFont="1" applyFill="1" applyBorder="1" applyProtection="1">
      <alignment horizontal="right" vertical="center" indent="1"/>
      <protection hidden="1"/>
    </xf>
    <xf numFmtId="168" fontId="79" fillId="0" borderId="269" xfId="4" applyNumberFormat="1" applyFont="1" applyFill="1" applyBorder="1" applyProtection="1">
      <alignment horizontal="right" vertical="center" indent="1"/>
      <protection hidden="1"/>
    </xf>
    <xf numFmtId="0" fontId="3" fillId="3" borderId="264" xfId="4" applyFont="1" applyFill="1" applyBorder="1" applyAlignment="1" applyProtection="1">
      <alignment horizontal="center" vertical="center"/>
      <protection hidden="1"/>
    </xf>
    <xf numFmtId="0" fontId="0" fillId="6" borderId="248" xfId="0" applyFill="1" applyBorder="1" applyAlignment="1" applyProtection="1">
      <alignment horizontal="left" vertical="center" indent="1"/>
      <protection locked="0"/>
    </xf>
    <xf numFmtId="0" fontId="80" fillId="3" borderId="279" xfId="0" applyFont="1" applyFill="1" applyBorder="1" applyAlignment="1" applyProtection="1">
      <alignment horizontal="right" vertical="center" indent="1"/>
      <protection hidden="1"/>
    </xf>
    <xf numFmtId="6" fontId="74" fillId="22" borderId="248" xfId="4" applyNumberFormat="1" applyFont="1" applyFill="1" applyBorder="1" applyProtection="1">
      <alignment horizontal="right" vertical="center" indent="1"/>
      <protection hidden="1"/>
    </xf>
    <xf numFmtId="6" fontId="74" fillId="22" borderId="250" xfId="4" applyNumberFormat="1" applyFont="1" applyFill="1" applyBorder="1" applyProtection="1">
      <alignment horizontal="right" vertical="center" indent="1"/>
      <protection hidden="1"/>
    </xf>
    <xf numFmtId="166" fontId="15" fillId="8" borderId="247" xfId="4" applyNumberFormat="1" applyFont="1" applyFill="1" applyBorder="1" applyProtection="1">
      <alignment horizontal="right" vertical="center" indent="1"/>
      <protection locked="0" hidden="1"/>
    </xf>
    <xf numFmtId="0" fontId="2" fillId="3" borderId="248" xfId="0" applyFont="1" applyFill="1" applyBorder="1" applyAlignment="1" applyProtection="1">
      <alignment horizontal="left" vertical="center" indent="1"/>
      <protection hidden="1"/>
    </xf>
    <xf numFmtId="0" fontId="2" fillId="3" borderId="255" xfId="0" applyFont="1" applyFill="1" applyBorder="1" applyAlignment="1" applyProtection="1">
      <alignment horizontal="left" vertical="center" indent="1"/>
      <protection hidden="1"/>
    </xf>
    <xf numFmtId="9" fontId="15" fillId="0" borderId="279" xfId="4" applyNumberFormat="1" applyFont="1" applyFill="1" applyBorder="1" applyProtection="1">
      <alignment horizontal="right" vertical="center" indent="1"/>
      <protection hidden="1"/>
    </xf>
    <xf numFmtId="166" fontId="15" fillId="6" borderId="248" xfId="4" applyNumberFormat="1" applyFont="1" applyFill="1" applyBorder="1" applyAlignment="1" applyProtection="1">
      <alignment horizontal="center" vertical="center"/>
      <protection locked="0" hidden="1"/>
    </xf>
    <xf numFmtId="166" fontId="15" fillId="6" borderId="260" xfId="4" applyNumberFormat="1" applyFont="1" applyFill="1" applyBorder="1" applyAlignment="1" applyProtection="1">
      <alignment horizontal="center" vertical="center"/>
      <protection locked="0" hidden="1"/>
    </xf>
    <xf numFmtId="6" fontId="75" fillId="22" borderId="279" xfId="4" applyNumberFormat="1" applyFont="1" applyFill="1" applyBorder="1" applyProtection="1">
      <alignment horizontal="right" vertical="center" indent="1"/>
      <protection hidden="1"/>
    </xf>
    <xf numFmtId="6" fontId="75" fillId="22" borderId="280" xfId="4" applyNumberFormat="1" applyFont="1" applyFill="1" applyBorder="1" applyProtection="1">
      <alignment horizontal="right" vertical="center" indent="1"/>
      <protection hidden="1"/>
    </xf>
    <xf numFmtId="172" fontId="15" fillId="6" borderId="260" xfId="4" applyNumberFormat="1" applyFont="1" applyFill="1" applyBorder="1" applyProtection="1">
      <alignment horizontal="right" vertical="center" indent="1"/>
      <protection locked="0" hidden="1"/>
    </xf>
    <xf numFmtId="0" fontId="80" fillId="3" borderId="260" xfId="0" applyFont="1" applyFill="1" applyBorder="1" applyAlignment="1" applyProtection="1">
      <alignment horizontal="right" vertical="center" indent="1"/>
      <protection hidden="1"/>
    </xf>
    <xf numFmtId="0" fontId="15" fillId="22" borderId="488" xfId="0" applyFont="1" applyFill="1" applyBorder="1" applyAlignment="1" applyProtection="1">
      <alignment horizontal="left" vertical="center" indent="1"/>
      <protection hidden="1"/>
    </xf>
    <xf numFmtId="6" fontId="15" fillId="22" borderId="488" xfId="4" applyNumberFormat="1" applyFont="1" applyFill="1" applyBorder="1" applyProtection="1">
      <alignment horizontal="right" vertical="center" indent="1"/>
      <protection hidden="1"/>
    </xf>
    <xf numFmtId="166" fontId="15" fillId="3" borderId="256" xfId="4" applyNumberFormat="1" applyFont="1" applyFill="1" applyBorder="1" applyProtection="1">
      <alignment horizontal="right" vertical="center" indent="1"/>
      <protection hidden="1"/>
    </xf>
    <xf numFmtId="166" fontId="15" fillId="3" borderId="248" xfId="4" applyNumberFormat="1" applyFont="1" applyFill="1" applyBorder="1" applyProtection="1">
      <alignment horizontal="right" vertical="center" indent="1"/>
      <protection hidden="1"/>
    </xf>
    <xf numFmtId="166" fontId="15" fillId="8" borderId="260" xfId="4" applyNumberFormat="1" applyFont="1" applyFill="1" applyBorder="1" applyProtection="1">
      <alignment horizontal="right" vertical="center" indent="1"/>
      <protection locked="0" hidden="1"/>
    </xf>
    <xf numFmtId="164" fontId="15" fillId="6" borderId="267" xfId="4" applyNumberFormat="1" applyFont="1" applyFill="1" applyBorder="1" applyProtection="1">
      <alignment horizontal="right" vertical="center" indent="1"/>
      <protection locked="0" hidden="1"/>
    </xf>
    <xf numFmtId="164" fontId="15" fillId="6" borderId="266" xfId="4" applyNumberFormat="1" applyFont="1" applyFill="1" applyBorder="1" applyProtection="1">
      <alignment horizontal="right" vertical="center" indent="1"/>
      <protection locked="0" hidden="1"/>
    </xf>
    <xf numFmtId="164" fontId="15" fillId="6" borderId="249" xfId="4" applyNumberFormat="1" applyFont="1" applyFill="1" applyBorder="1" applyProtection="1">
      <alignment horizontal="right" vertical="center" indent="1"/>
      <protection locked="0" hidden="1"/>
    </xf>
    <xf numFmtId="164" fontId="15" fillId="6" borderId="246" xfId="4" applyNumberFormat="1" applyFont="1" applyFill="1" applyBorder="1" applyProtection="1">
      <alignment horizontal="right" vertical="center" indent="1"/>
      <protection locked="0" hidden="1"/>
    </xf>
    <xf numFmtId="0" fontId="13" fillId="3" borderId="247" xfId="0" applyFont="1" applyFill="1" applyBorder="1" applyAlignment="1" applyProtection="1">
      <alignment horizontal="left" vertical="center" indent="1"/>
      <protection hidden="1"/>
    </xf>
    <xf numFmtId="3" fontId="15" fillId="0" borderId="255" xfId="4" applyNumberFormat="1" applyFont="1" applyFill="1" applyBorder="1" applyProtection="1">
      <alignment horizontal="right" vertical="center" indent="1"/>
      <protection hidden="1"/>
    </xf>
    <xf numFmtId="164" fontId="15" fillId="6" borderId="261" xfId="4" applyNumberFormat="1" applyFont="1" applyFill="1" applyBorder="1" applyProtection="1">
      <alignment horizontal="right" vertical="center" indent="1"/>
      <protection locked="0" hidden="1"/>
    </xf>
    <xf numFmtId="164" fontId="15" fillId="6" borderId="262" xfId="4" applyNumberFormat="1" applyFont="1" applyFill="1" applyBorder="1" applyProtection="1">
      <alignment horizontal="right" vertical="center" indent="1"/>
      <protection locked="0" hidden="1"/>
    </xf>
    <xf numFmtId="6" fontId="15" fillId="8" borderId="260" xfId="4" applyNumberFormat="1" applyFont="1" applyFill="1" applyBorder="1" applyProtection="1">
      <alignment horizontal="right" vertical="center" indent="1"/>
      <protection locked="0" hidden="1"/>
    </xf>
    <xf numFmtId="3" fontId="15" fillId="0" borderId="248" xfId="3" applyNumberFormat="1" applyFont="1" applyFill="1" applyBorder="1" applyProtection="1">
      <alignment horizontal="left" vertical="center" indent="1"/>
      <protection hidden="1"/>
    </xf>
    <xf numFmtId="3" fontId="15" fillId="0" borderId="260" xfId="3" applyNumberFormat="1" applyFont="1" applyFill="1" applyBorder="1" applyProtection="1">
      <alignment horizontal="left" vertical="center" indent="1"/>
      <protection hidden="1"/>
    </xf>
    <xf numFmtId="164" fontId="15" fillId="6" borderId="255" xfId="4" applyNumberFormat="1" applyFont="1" applyFill="1" applyBorder="1" applyProtection="1">
      <alignment horizontal="right" vertical="center" indent="1"/>
      <protection locked="0" hidden="1"/>
    </xf>
    <xf numFmtId="164" fontId="15" fillId="6" borderId="256" xfId="4" applyNumberFormat="1" applyFont="1" applyFill="1" applyBorder="1" applyProtection="1">
      <alignment horizontal="right" vertical="center" indent="1"/>
      <protection locked="0" hidden="1"/>
    </xf>
    <xf numFmtId="0" fontId="15" fillId="7" borderId="191" xfId="0" applyFont="1" applyFill="1" applyBorder="1" applyAlignment="1" applyProtection="1">
      <alignment horizontal="center" vertical="center"/>
      <protection locked="0" hidden="1"/>
    </xf>
    <xf numFmtId="0" fontId="15" fillId="7" borderId="192" xfId="0" applyFont="1" applyFill="1" applyBorder="1" applyAlignment="1" applyProtection="1">
      <alignment horizontal="center" vertical="center"/>
      <protection locked="0" hidden="1"/>
    </xf>
    <xf numFmtId="0" fontId="15" fillId="7" borderId="193" xfId="0" applyFont="1" applyFill="1" applyBorder="1" applyAlignment="1" applyProtection="1">
      <alignment horizontal="center" vertical="center"/>
      <protection locked="0" hidden="1"/>
    </xf>
    <xf numFmtId="0" fontId="36" fillId="2" borderId="0" xfId="0" applyFont="1" applyFill="1" applyAlignment="1" applyProtection="1">
      <alignment horizontal="center" vertical="center"/>
      <protection hidden="1"/>
    </xf>
    <xf numFmtId="3" fontId="15" fillId="3" borderId="282" xfId="3" applyNumberFormat="1" applyFont="1" applyFill="1" applyBorder="1" applyProtection="1">
      <alignment horizontal="left" vertical="center" indent="1"/>
      <protection hidden="1"/>
    </xf>
    <xf numFmtId="3" fontId="15" fillId="3" borderId="18" xfId="3" applyNumberFormat="1" applyFont="1" applyFill="1" applyBorder="1" applyProtection="1">
      <alignment horizontal="left" vertical="center" indent="1"/>
      <protection hidden="1"/>
    </xf>
    <xf numFmtId="6" fontId="15" fillId="8" borderId="255" xfId="4" applyNumberFormat="1" applyFont="1" applyFill="1" applyBorder="1" applyProtection="1">
      <alignment horizontal="right" vertical="center" indent="1"/>
      <protection locked="0" hidden="1"/>
    </xf>
    <xf numFmtId="6" fontId="15" fillId="8" borderId="256" xfId="4" applyNumberFormat="1" applyFont="1" applyFill="1" applyBorder="1" applyProtection="1">
      <alignment horizontal="right" vertical="center" indent="1"/>
      <protection locked="0" hidden="1"/>
    </xf>
    <xf numFmtId="6" fontId="15" fillId="8" borderId="300" xfId="4" applyNumberFormat="1" applyFont="1" applyFill="1" applyBorder="1" applyProtection="1">
      <alignment horizontal="right" vertical="center" indent="1"/>
      <protection locked="0" hidden="1"/>
    </xf>
    <xf numFmtId="6" fontId="15" fillId="8" borderId="293" xfId="4" applyNumberFormat="1" applyFont="1" applyFill="1" applyBorder="1" applyProtection="1">
      <alignment horizontal="right" vertical="center" indent="1"/>
      <protection locked="0" hidden="1"/>
    </xf>
    <xf numFmtId="6" fontId="15" fillId="8" borderId="261" xfId="4" applyNumberFormat="1" applyFont="1" applyFill="1" applyBorder="1" applyProtection="1">
      <alignment horizontal="right" vertical="center" indent="1"/>
      <protection locked="0" hidden="1"/>
    </xf>
    <xf numFmtId="6" fontId="15" fillId="8" borderId="262" xfId="4" applyNumberFormat="1" applyFont="1" applyFill="1" applyBorder="1" applyProtection="1">
      <alignment horizontal="right" vertical="center" indent="1"/>
      <protection locked="0" hidden="1"/>
    </xf>
    <xf numFmtId="0" fontId="0" fillId="3" borderId="196" xfId="4" applyFont="1" applyFill="1" applyBorder="1" applyProtection="1">
      <alignment horizontal="right" vertical="center" indent="1"/>
      <protection hidden="1"/>
    </xf>
    <xf numFmtId="0" fontId="2" fillId="3" borderId="268" xfId="3" applyFont="1" applyFill="1" applyBorder="1" applyProtection="1">
      <alignment horizontal="left" vertical="center" indent="1"/>
      <protection hidden="1"/>
    </xf>
    <xf numFmtId="0" fontId="2" fillId="3" borderId="269" xfId="3" applyFont="1" applyFill="1" applyBorder="1" applyProtection="1">
      <alignment horizontal="left" vertical="center" indent="1"/>
      <protection hidden="1"/>
    </xf>
    <xf numFmtId="0" fontId="0" fillId="3" borderId="281" xfId="0" applyFill="1" applyBorder="1" applyAlignment="1" applyProtection="1">
      <alignment horizontal="left" vertical="center" indent="11"/>
      <protection hidden="1"/>
    </xf>
    <xf numFmtId="0" fontId="28" fillId="3" borderId="0" xfId="3" applyFont="1" applyFill="1" applyBorder="1" applyProtection="1">
      <alignment horizontal="left" vertical="center" indent="1"/>
      <protection hidden="1"/>
    </xf>
    <xf numFmtId="0" fontId="28" fillId="3" borderId="73" xfId="3" applyFont="1" applyFill="1" applyBorder="1" applyProtection="1">
      <alignment horizontal="left" vertical="center" indent="1"/>
      <protection hidden="1"/>
    </xf>
    <xf numFmtId="0" fontId="122" fillId="9" borderId="462" xfId="3" applyFont="1" applyFill="1" applyBorder="1" applyProtection="1">
      <alignment horizontal="left" vertical="center" indent="1"/>
      <protection hidden="1"/>
    </xf>
    <xf numFmtId="6" fontId="75" fillId="22" borderId="284" xfId="4" applyNumberFormat="1" applyFont="1" applyFill="1" applyBorder="1" applyProtection="1">
      <alignment horizontal="right" vertical="center" indent="1"/>
      <protection hidden="1"/>
    </xf>
    <xf numFmtId="6" fontId="75" fillId="22" borderId="214" xfId="4" applyNumberFormat="1" applyFont="1" applyFill="1" applyBorder="1" applyProtection="1">
      <alignment horizontal="right" vertical="center" indent="1"/>
      <protection hidden="1"/>
    </xf>
    <xf numFmtId="6" fontId="75" fillId="22" borderId="261" xfId="4" applyNumberFormat="1" applyFont="1" applyFill="1" applyBorder="1" applyProtection="1">
      <alignment horizontal="right" vertical="center" indent="1"/>
      <protection hidden="1"/>
    </xf>
    <xf numFmtId="6" fontId="75" fillId="22" borderId="263" xfId="4" applyNumberFormat="1" applyFont="1" applyFill="1" applyBorder="1" applyProtection="1">
      <alignment horizontal="right" vertical="center" indent="1"/>
      <protection hidden="1"/>
    </xf>
    <xf numFmtId="6" fontId="74" fillId="22" borderId="267" xfId="4" applyNumberFormat="1" applyFont="1" applyFill="1" applyBorder="1" applyProtection="1">
      <alignment horizontal="right" vertical="center" indent="1"/>
      <protection hidden="1"/>
    </xf>
    <xf numFmtId="6" fontId="74" fillId="22" borderId="211" xfId="4" applyNumberFormat="1" applyFont="1" applyFill="1" applyBorder="1" applyProtection="1">
      <alignment horizontal="right" vertical="center" indent="1"/>
      <protection hidden="1"/>
    </xf>
    <xf numFmtId="3" fontId="15" fillId="0" borderId="261" xfId="3" applyNumberFormat="1" applyFont="1" applyFill="1" applyBorder="1" applyProtection="1">
      <alignment horizontal="left" vertical="center" indent="1"/>
      <protection hidden="1"/>
    </xf>
    <xf numFmtId="3" fontId="15" fillId="0" borderId="262" xfId="3" applyNumberFormat="1" applyFont="1" applyFill="1" applyBorder="1" applyProtection="1">
      <alignment horizontal="left" vertical="center" indent="1"/>
      <protection hidden="1"/>
    </xf>
    <xf numFmtId="3" fontId="74" fillId="3" borderId="267" xfId="3" applyNumberFormat="1" applyFont="1" applyFill="1" applyBorder="1" applyProtection="1">
      <alignment horizontal="left" vertical="center" indent="1"/>
      <protection hidden="1"/>
    </xf>
    <xf numFmtId="3" fontId="74" fillId="3" borderId="196" xfId="3" applyNumberFormat="1" applyFont="1" applyFill="1" applyBorder="1" applyProtection="1">
      <alignment horizontal="left" vertical="center" indent="1"/>
      <protection hidden="1"/>
    </xf>
    <xf numFmtId="3" fontId="15" fillId="0" borderId="267" xfId="3" applyNumberFormat="1" applyFont="1" applyFill="1" applyBorder="1" applyProtection="1">
      <alignment horizontal="left" vertical="center" indent="1"/>
      <protection hidden="1"/>
    </xf>
    <xf numFmtId="3" fontId="15" fillId="0" borderId="266" xfId="3" applyNumberFormat="1" applyFont="1" applyFill="1" applyBorder="1" applyProtection="1">
      <alignment horizontal="left" vertical="center" indent="1"/>
      <protection hidden="1"/>
    </xf>
    <xf numFmtId="6" fontId="15" fillId="8" borderId="267" xfId="4" applyNumberFormat="1" applyFont="1" applyFill="1" applyBorder="1" applyProtection="1">
      <alignment horizontal="right" vertical="center" indent="1"/>
      <protection locked="0" hidden="1"/>
    </xf>
    <xf numFmtId="6" fontId="15" fillId="8" borderId="196" xfId="4" applyNumberFormat="1" applyFont="1" applyFill="1" applyBorder="1" applyProtection="1">
      <alignment horizontal="right" vertical="center" indent="1"/>
      <protection locked="0" hidden="1"/>
    </xf>
    <xf numFmtId="6" fontId="75" fillId="22" borderId="267" xfId="4" applyNumberFormat="1" applyFont="1" applyFill="1" applyBorder="1" applyProtection="1">
      <alignment horizontal="right" vertical="center" indent="1"/>
      <protection hidden="1"/>
    </xf>
    <xf numFmtId="6" fontId="75" fillId="22" borderId="211" xfId="4" applyNumberFormat="1" applyFont="1" applyFill="1" applyBorder="1" applyProtection="1">
      <alignment horizontal="right" vertical="center" indent="1"/>
      <protection hidden="1"/>
    </xf>
    <xf numFmtId="0" fontId="13" fillId="3" borderId="261" xfId="0" applyFont="1" applyFill="1" applyBorder="1" applyAlignment="1" applyProtection="1">
      <alignment horizontal="left" vertical="center" indent="1"/>
      <protection hidden="1"/>
    </xf>
    <xf numFmtId="0" fontId="13" fillId="3" borderId="264" xfId="0" applyFont="1" applyFill="1" applyBorder="1" applyAlignment="1" applyProtection="1">
      <alignment horizontal="left" vertical="center" indent="1"/>
      <protection hidden="1"/>
    </xf>
    <xf numFmtId="0" fontId="13" fillId="3" borderId="262" xfId="0" applyFont="1" applyFill="1" applyBorder="1" applyAlignment="1" applyProtection="1">
      <alignment horizontal="left" vertical="center" indent="1"/>
      <protection hidden="1"/>
    </xf>
    <xf numFmtId="0" fontId="13" fillId="3" borderId="267" xfId="0" applyFont="1" applyFill="1" applyBorder="1" applyAlignment="1" applyProtection="1">
      <alignment horizontal="left" vertical="center" indent="1"/>
      <protection hidden="1"/>
    </xf>
    <xf numFmtId="0" fontId="13" fillId="3" borderId="196" xfId="0" applyFont="1" applyFill="1" applyBorder="1" applyAlignment="1" applyProtection="1">
      <alignment horizontal="left" vertical="center" indent="1"/>
      <protection hidden="1"/>
    </xf>
    <xf numFmtId="0" fontId="13" fillId="3" borderId="266" xfId="0" applyFont="1" applyFill="1" applyBorder="1" applyAlignment="1" applyProtection="1">
      <alignment horizontal="left" vertical="center" indent="1"/>
      <protection hidden="1"/>
    </xf>
    <xf numFmtId="0" fontId="13" fillId="3" borderId="255" xfId="0" applyFont="1" applyFill="1" applyBorder="1" applyAlignment="1" applyProtection="1">
      <alignment horizontal="left" vertical="center" indent="1"/>
      <protection hidden="1"/>
    </xf>
    <xf numFmtId="0" fontId="13" fillId="3" borderId="275" xfId="0" applyFont="1" applyFill="1" applyBorder="1" applyAlignment="1" applyProtection="1">
      <alignment horizontal="left" vertical="center" indent="1"/>
      <protection hidden="1"/>
    </xf>
    <xf numFmtId="0" fontId="13" fillId="3" borderId="256" xfId="0" applyFont="1" applyFill="1" applyBorder="1" applyAlignment="1" applyProtection="1">
      <alignment horizontal="left" vertical="center" indent="1"/>
      <protection hidden="1"/>
    </xf>
    <xf numFmtId="0" fontId="13" fillId="3" borderId="260" xfId="0" applyFont="1" applyFill="1" applyBorder="1" applyAlignment="1" applyProtection="1">
      <alignment horizontal="left" vertical="center" indent="1"/>
      <protection hidden="1"/>
    </xf>
    <xf numFmtId="3" fontId="15" fillId="0" borderId="255" xfId="3" applyNumberFormat="1" applyFont="1" applyFill="1" applyBorder="1" applyProtection="1">
      <alignment horizontal="left" vertical="center" indent="1"/>
      <protection hidden="1"/>
    </xf>
    <xf numFmtId="3" fontId="15" fillId="0" borderId="256" xfId="3" applyNumberFormat="1" applyFont="1" applyFill="1" applyBorder="1" applyProtection="1">
      <alignment horizontal="left" vertical="center" indent="1"/>
      <protection hidden="1"/>
    </xf>
    <xf numFmtId="0" fontId="0" fillId="3" borderId="248" xfId="0" applyFill="1" applyBorder="1" applyAlignment="1" applyProtection="1">
      <alignment horizontal="left" vertical="center" indent="6"/>
      <protection hidden="1"/>
    </xf>
    <xf numFmtId="3" fontId="15" fillId="0" borderId="284" xfId="3" applyNumberFormat="1" applyFont="1" applyFill="1" applyBorder="1" applyProtection="1">
      <alignment horizontal="left" vertical="center" indent="1"/>
      <protection hidden="1"/>
    </xf>
    <xf numFmtId="3" fontId="15" fillId="0" borderId="77" xfId="3" applyNumberFormat="1" applyFont="1" applyFill="1" applyBorder="1" applyProtection="1">
      <alignment horizontal="left" vertical="center" indent="1"/>
      <protection hidden="1"/>
    </xf>
    <xf numFmtId="0" fontId="28" fillId="3" borderId="18" xfId="3" applyFont="1" applyFill="1" applyBorder="1" applyProtection="1">
      <alignment horizontal="left" vertical="center" indent="1"/>
      <protection hidden="1"/>
    </xf>
    <xf numFmtId="0" fontId="28" fillId="3" borderId="72" xfId="3" applyFont="1" applyFill="1" applyBorder="1" applyProtection="1">
      <alignment horizontal="left" vertical="center" indent="1"/>
      <protection hidden="1"/>
    </xf>
    <xf numFmtId="0" fontId="28" fillId="3" borderId="77" xfId="3" applyFont="1" applyFill="1" applyBorder="1" applyProtection="1">
      <alignment horizontal="left" vertical="center" indent="1"/>
      <protection hidden="1"/>
    </xf>
    <xf numFmtId="0" fontId="28" fillId="3" borderId="214" xfId="3" applyFont="1" applyFill="1" applyBorder="1" applyProtection="1">
      <alignment horizontal="left" vertical="center" indent="1"/>
      <protection hidden="1"/>
    </xf>
    <xf numFmtId="0" fontId="0" fillId="3" borderId="249" xfId="0" applyFill="1" applyBorder="1" applyAlignment="1" applyProtection="1">
      <alignment horizontal="left" vertical="center" indent="6"/>
      <protection hidden="1"/>
    </xf>
    <xf numFmtId="0" fontId="0" fillId="3" borderId="265" xfId="0" applyFill="1" applyBorder="1" applyAlignment="1" applyProtection="1">
      <alignment horizontal="left" vertical="center" indent="6"/>
      <protection hidden="1"/>
    </xf>
    <xf numFmtId="0" fontId="0" fillId="3" borderId="246" xfId="0" applyFill="1" applyBorder="1" applyAlignment="1" applyProtection="1">
      <alignment horizontal="left" vertical="center" indent="6"/>
      <protection hidden="1"/>
    </xf>
    <xf numFmtId="6" fontId="75" fillId="22" borderId="255" xfId="4" applyNumberFormat="1" applyFont="1" applyFill="1" applyBorder="1" applyProtection="1">
      <alignment horizontal="right" vertical="center" indent="1"/>
      <protection hidden="1"/>
    </xf>
    <xf numFmtId="6" fontId="75" fillId="22" borderId="257" xfId="4" applyNumberFormat="1" applyFont="1" applyFill="1" applyBorder="1" applyProtection="1">
      <alignment horizontal="right" vertical="center" indent="1"/>
      <protection hidden="1"/>
    </xf>
    <xf numFmtId="6" fontId="75" fillId="22" borderId="249" xfId="4" applyNumberFormat="1" applyFont="1" applyFill="1" applyBorder="1" applyProtection="1">
      <alignment horizontal="right" vertical="center" indent="1"/>
      <protection hidden="1"/>
    </xf>
    <xf numFmtId="6" fontId="75" fillId="22" borderId="209" xfId="4" applyNumberFormat="1" applyFont="1" applyFill="1" applyBorder="1" applyProtection="1">
      <alignment horizontal="right" vertical="center" indent="1"/>
      <protection hidden="1"/>
    </xf>
    <xf numFmtId="6" fontId="15" fillId="8" borderId="248" xfId="4" applyNumberFormat="1" applyFont="1" applyFill="1" applyBorder="1" applyProtection="1">
      <alignment horizontal="right" vertical="center" indent="1"/>
      <protection locked="0" hidden="1"/>
    </xf>
    <xf numFmtId="0" fontId="15" fillId="3" borderId="278" xfId="3" applyFont="1" applyFill="1" applyBorder="1" applyAlignment="1" applyProtection="1">
      <alignment horizontal="center" vertical="center"/>
      <protection hidden="1"/>
    </xf>
    <xf numFmtId="0" fontId="15" fillId="3" borderId="277" xfId="3" applyFont="1" applyFill="1" applyBorder="1" applyAlignment="1" applyProtection="1">
      <alignment horizontal="center" vertical="center"/>
      <protection hidden="1"/>
    </xf>
    <xf numFmtId="0" fontId="15" fillId="3" borderId="357" xfId="0" applyFont="1" applyFill="1" applyBorder="1" applyAlignment="1" applyProtection="1">
      <alignment horizontal="center" vertical="center"/>
      <protection hidden="1"/>
    </xf>
    <xf numFmtId="0" fontId="15" fillId="3" borderId="359" xfId="0" applyFont="1" applyFill="1" applyBorder="1" applyAlignment="1" applyProtection="1">
      <alignment horizontal="center" vertical="center"/>
      <protection hidden="1"/>
    </xf>
    <xf numFmtId="0" fontId="15" fillId="3" borderId="300" xfId="3" applyFont="1" applyFill="1" applyBorder="1" applyProtection="1">
      <alignment horizontal="left" vertical="center" indent="1"/>
      <protection hidden="1"/>
    </xf>
    <xf numFmtId="0" fontId="15" fillId="3" borderId="137" xfId="3" applyFont="1" applyFill="1" applyBorder="1" applyProtection="1">
      <alignment horizontal="left" vertical="center" indent="1"/>
      <protection hidden="1"/>
    </xf>
    <xf numFmtId="0" fontId="15" fillId="3" borderId="273" xfId="3" applyFont="1" applyFill="1" applyBorder="1" applyProtection="1">
      <alignment horizontal="left" vertical="center" indent="1"/>
      <protection hidden="1"/>
    </xf>
    <xf numFmtId="0" fontId="15" fillId="3" borderId="75" xfId="3" applyFont="1" applyFill="1" applyBorder="1" applyProtection="1">
      <alignment horizontal="left" vertical="center" indent="1"/>
      <protection hidden="1"/>
    </xf>
    <xf numFmtId="0" fontId="15" fillId="3" borderId="289" xfId="3" applyFont="1" applyFill="1" applyBorder="1" applyAlignment="1" applyProtection="1">
      <alignment horizontal="center" vertical="center"/>
      <protection hidden="1"/>
    </xf>
    <xf numFmtId="0" fontId="13" fillId="6" borderId="249" xfId="4" applyFont="1" applyFill="1" applyBorder="1" applyAlignment="1" applyProtection="1">
      <alignment horizontal="center" vertical="center"/>
      <protection locked="0"/>
    </xf>
    <xf numFmtId="0" fontId="13" fillId="6" borderId="265" xfId="4" applyFont="1" applyFill="1" applyBorder="1" applyAlignment="1" applyProtection="1">
      <alignment horizontal="center" vertical="center"/>
      <protection locked="0"/>
    </xf>
    <xf numFmtId="0" fontId="13" fillId="6" borderId="246" xfId="4" applyFont="1" applyFill="1" applyBorder="1" applyAlignment="1" applyProtection="1">
      <alignment horizontal="center" vertical="center"/>
      <protection locked="0"/>
    </xf>
    <xf numFmtId="0" fontId="13" fillId="3" borderId="262" xfId="4" applyFont="1" applyFill="1" applyBorder="1" applyProtection="1">
      <alignment horizontal="right" vertical="center" indent="1"/>
      <protection hidden="1"/>
    </xf>
    <xf numFmtId="0" fontId="13" fillId="3" borderId="260" xfId="4" applyFont="1" applyFill="1" applyBorder="1" applyProtection="1">
      <alignment horizontal="right" vertical="center" indent="1"/>
      <protection hidden="1"/>
    </xf>
    <xf numFmtId="0" fontId="13" fillId="3" borderId="261" xfId="4" applyFont="1" applyFill="1" applyBorder="1" applyProtection="1">
      <alignment horizontal="right" vertical="center" indent="1"/>
      <protection hidden="1"/>
    </xf>
    <xf numFmtId="0" fontId="37" fillId="3" borderId="368" xfId="3" applyFont="1" applyFill="1" applyBorder="1" applyProtection="1">
      <alignment horizontal="left" vertical="center" indent="1"/>
      <protection hidden="1"/>
    </xf>
    <xf numFmtId="0" fontId="37" fillId="3" borderId="360" xfId="3" applyFont="1" applyFill="1" applyBorder="1" applyProtection="1">
      <alignment horizontal="left" vertical="center" indent="1"/>
      <protection hidden="1"/>
    </xf>
    <xf numFmtId="0" fontId="37" fillId="3" borderId="362" xfId="3" applyFont="1" applyFill="1" applyBorder="1" applyProtection="1">
      <alignment horizontal="left" vertical="center" indent="1"/>
      <protection hidden="1"/>
    </xf>
    <xf numFmtId="0" fontId="37" fillId="3" borderId="75" xfId="3" applyFont="1" applyFill="1" applyBorder="1" applyProtection="1">
      <alignment horizontal="left" vertical="center" indent="1"/>
      <protection hidden="1"/>
    </xf>
    <xf numFmtId="0" fontId="37" fillId="3" borderId="272" xfId="3" applyFont="1" applyFill="1" applyBorder="1" applyProtection="1">
      <alignment horizontal="left" vertical="center" indent="1"/>
      <protection hidden="1"/>
    </xf>
    <xf numFmtId="0" fontId="15" fillId="6" borderId="261" xfId="3" applyFont="1" applyFill="1" applyBorder="1" applyProtection="1">
      <alignment horizontal="left" vertical="center" indent="1"/>
      <protection locked="0"/>
    </xf>
    <xf numFmtId="0" fontId="15" fillId="6" borderId="264" xfId="3" applyFont="1" applyFill="1" applyBorder="1" applyProtection="1">
      <alignment horizontal="left" vertical="center" indent="1"/>
      <protection locked="0"/>
    </xf>
    <xf numFmtId="0" fontId="15" fillId="6" borderId="262" xfId="3" applyFont="1" applyFill="1" applyBorder="1" applyProtection="1">
      <alignment horizontal="left" vertical="center" indent="1"/>
      <protection locked="0"/>
    </xf>
    <xf numFmtId="9" fontId="15" fillId="3" borderId="249" xfId="4" applyNumberFormat="1" applyFont="1" applyFill="1" applyBorder="1">
      <alignment horizontal="right" vertical="center" indent="1"/>
    </xf>
    <xf numFmtId="9" fontId="15" fillId="3" borderId="265" xfId="4" applyNumberFormat="1" applyFont="1" applyFill="1" applyBorder="1">
      <alignment horizontal="right" vertical="center" indent="1"/>
    </xf>
    <xf numFmtId="9" fontId="15" fillId="3" borderId="246" xfId="4" applyNumberFormat="1" applyFont="1" applyFill="1" applyBorder="1">
      <alignment horizontal="right" vertical="center" indent="1"/>
    </xf>
    <xf numFmtId="9" fontId="15" fillId="6" borderId="265" xfId="3" applyNumberFormat="1" applyFont="1" applyFill="1" applyBorder="1" applyProtection="1">
      <alignment horizontal="left" vertical="center" indent="1"/>
      <protection locked="0"/>
    </xf>
    <xf numFmtId="9" fontId="15" fillId="6" borderId="246" xfId="3" applyNumberFormat="1" applyFont="1" applyFill="1" applyBorder="1" applyProtection="1">
      <alignment horizontal="left" vertical="center" indent="1"/>
      <protection locked="0"/>
    </xf>
    <xf numFmtId="0" fontId="15" fillId="3" borderId="247" xfId="3" applyFont="1" applyFill="1" applyBorder="1" applyProtection="1">
      <alignment horizontal="left" vertical="center" indent="1"/>
      <protection hidden="1"/>
    </xf>
    <xf numFmtId="0" fontId="15" fillId="3" borderId="249" xfId="3" applyFont="1" applyFill="1" applyBorder="1" applyProtection="1">
      <alignment horizontal="left" vertical="center" indent="1"/>
      <protection hidden="1"/>
    </xf>
    <xf numFmtId="0" fontId="15" fillId="3" borderId="260" xfId="3" applyFont="1" applyFill="1" applyBorder="1" applyProtection="1">
      <alignment horizontal="left" vertical="center" indent="1"/>
      <protection hidden="1"/>
    </xf>
    <xf numFmtId="0" fontId="13" fillId="3" borderId="360" xfId="4" applyFont="1" applyFill="1" applyBorder="1" applyProtection="1">
      <alignment horizontal="right" vertical="center" indent="1"/>
      <protection hidden="1"/>
    </xf>
    <xf numFmtId="0" fontId="13" fillId="3" borderId="362" xfId="4" applyFont="1" applyFill="1" applyBorder="1" applyProtection="1">
      <alignment horizontal="right" vertical="center" indent="1"/>
      <protection hidden="1"/>
    </xf>
    <xf numFmtId="0" fontId="13" fillId="3" borderId="264" xfId="4" applyFont="1" applyFill="1" applyBorder="1" applyProtection="1">
      <alignment horizontal="right" vertical="center" indent="1"/>
      <protection hidden="1"/>
    </xf>
    <xf numFmtId="0" fontId="98" fillId="3" borderId="249" xfId="4" applyFont="1" applyFill="1" applyBorder="1" applyProtection="1">
      <alignment horizontal="right" vertical="center" indent="1"/>
      <protection hidden="1"/>
    </xf>
    <xf numFmtId="0" fontId="98" fillId="3" borderId="246" xfId="4" applyFont="1" applyFill="1" applyBorder="1" applyProtection="1">
      <alignment horizontal="right" vertical="center" indent="1"/>
      <protection hidden="1"/>
    </xf>
    <xf numFmtId="0" fontId="13" fillId="6" borderId="253" xfId="4" applyFont="1" applyFill="1" applyBorder="1" applyAlignment="1" applyProtection="1">
      <alignment horizontal="center" vertical="center"/>
      <protection locked="0"/>
    </xf>
    <xf numFmtId="0" fontId="13" fillId="6" borderId="0" xfId="4" applyFont="1" applyFill="1" applyBorder="1" applyAlignment="1" applyProtection="1">
      <alignment horizontal="center" vertical="center"/>
      <protection locked="0"/>
    </xf>
    <xf numFmtId="0" fontId="13" fillId="6" borderId="252" xfId="4" applyFont="1" applyFill="1" applyBorder="1" applyAlignment="1" applyProtection="1">
      <alignment horizontal="center" vertical="center"/>
      <protection locked="0"/>
    </xf>
    <xf numFmtId="0" fontId="13" fillId="6" borderId="300" xfId="4" applyFont="1" applyFill="1" applyBorder="1" applyAlignment="1" applyProtection="1">
      <alignment horizontal="center" vertical="center"/>
      <protection locked="0"/>
    </xf>
    <xf numFmtId="0" fontId="13" fillId="6" borderId="137" xfId="4" applyFont="1" applyFill="1" applyBorder="1" applyAlignment="1" applyProtection="1">
      <alignment horizontal="center" vertical="center"/>
      <protection locked="0"/>
    </xf>
    <xf numFmtId="0" fontId="13" fillId="6" borderId="293" xfId="4" applyFont="1" applyFill="1" applyBorder="1" applyAlignment="1" applyProtection="1">
      <alignment horizontal="center" vertical="center"/>
      <protection locked="0"/>
    </xf>
    <xf numFmtId="0" fontId="15" fillId="3" borderId="358" xfId="3" applyFont="1" applyFill="1" applyBorder="1" applyAlignment="1" applyProtection="1">
      <alignment horizontal="center" vertical="center"/>
      <protection hidden="1"/>
    </xf>
    <xf numFmtId="0" fontId="15" fillId="3" borderId="248" xfId="3" applyFont="1" applyFill="1" applyBorder="1" applyProtection="1">
      <alignment horizontal="left" vertical="center" indent="1"/>
      <protection hidden="1"/>
    </xf>
    <xf numFmtId="0" fontId="15" fillId="3" borderId="255" xfId="3" applyFont="1" applyFill="1" applyBorder="1" applyProtection="1">
      <alignment horizontal="left" vertical="center" indent="1"/>
      <protection hidden="1"/>
    </xf>
    <xf numFmtId="0" fontId="13" fillId="3" borderId="248" xfId="4" applyFont="1" applyFill="1" applyBorder="1" applyProtection="1">
      <alignment horizontal="right" vertical="center" indent="1"/>
      <protection hidden="1"/>
    </xf>
    <xf numFmtId="0" fontId="13" fillId="3" borderId="255" xfId="4" applyFont="1" applyFill="1" applyBorder="1" applyProtection="1">
      <alignment horizontal="right" vertical="center" indent="1"/>
      <protection hidden="1"/>
    </xf>
    <xf numFmtId="0" fontId="13" fillId="3" borderId="256" xfId="0" applyFont="1" applyFill="1" applyBorder="1" applyAlignment="1" applyProtection="1">
      <alignment horizontal="center" vertical="center"/>
      <protection hidden="1"/>
    </xf>
    <xf numFmtId="0" fontId="13" fillId="3" borderId="248" xfId="0" applyFont="1" applyFill="1" applyBorder="1" applyAlignment="1" applyProtection="1">
      <alignment horizontal="center" vertical="center"/>
      <protection hidden="1"/>
    </xf>
    <xf numFmtId="0" fontId="13" fillId="3" borderId="247" xfId="4" applyFont="1" applyFill="1" applyBorder="1" applyProtection="1">
      <alignment horizontal="right" vertical="center" indent="1"/>
      <protection hidden="1"/>
    </xf>
    <xf numFmtId="0" fontId="13" fillId="3" borderId="249" xfId="4" applyFont="1" applyFill="1" applyBorder="1" applyProtection="1">
      <alignment horizontal="right" vertical="center" indent="1"/>
      <protection hidden="1"/>
    </xf>
    <xf numFmtId="0" fontId="13" fillId="3" borderId="246" xfId="0" applyFont="1" applyFill="1" applyBorder="1" applyAlignment="1" applyProtection="1">
      <alignment horizontal="center" vertical="center"/>
      <protection hidden="1"/>
    </xf>
    <xf numFmtId="0" fontId="13" fillId="3" borderId="247" xfId="0" applyFont="1" applyFill="1" applyBorder="1" applyAlignment="1" applyProtection="1">
      <alignment horizontal="center" vertical="center"/>
      <protection hidden="1"/>
    </xf>
    <xf numFmtId="6" fontId="2" fillId="0" borderId="255" xfId="0" applyNumberFormat="1" applyFont="1" applyBorder="1" applyAlignment="1" applyProtection="1">
      <alignment horizontal="center" vertical="center"/>
      <protection hidden="1"/>
    </xf>
    <xf numFmtId="6" fontId="2" fillId="0" borderId="275" xfId="0" applyNumberFormat="1" applyFont="1" applyBorder="1" applyAlignment="1" applyProtection="1">
      <alignment horizontal="center" vertical="center"/>
      <protection hidden="1"/>
    </xf>
    <xf numFmtId="0" fontId="13" fillId="3" borderId="246" xfId="4" applyFont="1" applyFill="1" applyBorder="1" applyProtection="1">
      <alignment horizontal="right" vertical="center" indent="1"/>
      <protection hidden="1"/>
    </xf>
    <xf numFmtId="0" fontId="13" fillId="6" borderId="261" xfId="4" applyFont="1" applyFill="1" applyBorder="1" applyAlignment="1" applyProtection="1">
      <alignment horizontal="center" vertical="center"/>
      <protection locked="0"/>
    </xf>
    <xf numFmtId="0" fontId="13" fillId="6" borderId="264" xfId="4" applyFont="1" applyFill="1" applyBorder="1" applyAlignment="1" applyProtection="1">
      <alignment horizontal="center" vertical="center"/>
      <protection locked="0"/>
    </xf>
    <xf numFmtId="0" fontId="13" fillId="6" borderId="262" xfId="4" applyFont="1" applyFill="1" applyBorder="1" applyAlignment="1" applyProtection="1">
      <alignment horizontal="center" vertical="center"/>
      <protection locked="0"/>
    </xf>
    <xf numFmtId="0" fontId="13" fillId="3" borderId="275" xfId="4" applyFont="1" applyFill="1" applyBorder="1" applyProtection="1">
      <alignment horizontal="right" vertical="center" indent="1"/>
      <protection hidden="1"/>
    </xf>
    <xf numFmtId="0" fontId="13" fillId="6" borderId="75" xfId="0" applyFont="1" applyFill="1" applyBorder="1" applyAlignment="1" applyProtection="1">
      <alignment horizontal="center" vertical="center"/>
      <protection locked="0"/>
    </xf>
    <xf numFmtId="0" fontId="13" fillId="6" borderId="272" xfId="0" applyFont="1" applyFill="1" applyBorder="1" applyAlignment="1" applyProtection="1">
      <alignment horizontal="center" vertical="center"/>
      <protection locked="0"/>
    </xf>
    <xf numFmtId="0" fontId="13" fillId="6" borderId="347" xfId="0" applyFont="1" applyFill="1" applyBorder="1" applyAlignment="1" applyProtection="1">
      <alignment horizontal="center" vertical="center"/>
      <protection locked="0"/>
    </xf>
    <xf numFmtId="0" fontId="13" fillId="6" borderId="379" xfId="0" applyFont="1" applyFill="1" applyBorder="1" applyAlignment="1" applyProtection="1">
      <alignment horizontal="center" vertical="center"/>
      <protection locked="0"/>
    </xf>
    <xf numFmtId="0" fontId="13" fillId="6" borderId="265" xfId="0" applyFont="1" applyFill="1" applyBorder="1" applyAlignment="1" applyProtection="1">
      <alignment horizontal="center" vertical="center"/>
      <protection locked="0"/>
    </xf>
    <xf numFmtId="0" fontId="13" fillId="6" borderId="246" xfId="0" applyFont="1" applyFill="1" applyBorder="1" applyAlignment="1" applyProtection="1">
      <alignment horizontal="center" vertical="center"/>
      <protection locked="0"/>
    </xf>
    <xf numFmtId="0" fontId="15" fillId="3" borderId="255" xfId="4" applyFont="1" applyFill="1" applyBorder="1" applyProtection="1">
      <alignment horizontal="right" vertical="center" indent="1"/>
      <protection hidden="1"/>
    </xf>
    <xf numFmtId="0" fontId="15" fillId="3" borderId="275" xfId="4" applyFont="1" applyFill="1" applyBorder="1" applyProtection="1">
      <alignment horizontal="right" vertical="center" indent="1"/>
      <protection hidden="1"/>
    </xf>
    <xf numFmtId="0" fontId="13" fillId="3" borderId="256" xfId="4" applyFont="1" applyFill="1" applyBorder="1" applyProtection="1">
      <alignment horizontal="right" vertical="center" indent="1"/>
      <protection hidden="1"/>
    </xf>
    <xf numFmtId="0" fontId="13" fillId="3" borderId="377" xfId="4" applyFont="1" applyFill="1" applyBorder="1" applyProtection="1">
      <alignment horizontal="right" vertical="center" indent="1"/>
      <protection hidden="1"/>
    </xf>
    <xf numFmtId="0" fontId="13" fillId="3" borderId="375" xfId="4" applyFont="1" applyFill="1" applyBorder="1" applyProtection="1">
      <alignment horizontal="right" vertical="center" indent="1"/>
      <protection hidden="1"/>
    </xf>
    <xf numFmtId="0" fontId="13" fillId="3" borderId="376" xfId="4" applyFont="1" applyFill="1" applyBorder="1" applyProtection="1">
      <alignment horizontal="right" vertical="center" indent="1"/>
      <protection hidden="1"/>
    </xf>
    <xf numFmtId="0" fontId="13" fillId="3" borderId="368" xfId="4" applyFont="1" applyFill="1" applyBorder="1" applyProtection="1">
      <alignment horizontal="right" vertical="center" indent="1"/>
      <protection hidden="1"/>
    </xf>
    <xf numFmtId="0" fontId="13" fillId="3" borderId="374" xfId="4" applyFont="1" applyFill="1" applyBorder="1" applyProtection="1">
      <alignment horizontal="right" vertical="center" indent="1"/>
      <protection hidden="1"/>
    </xf>
    <xf numFmtId="0" fontId="15" fillId="3" borderId="253" xfId="3" applyFont="1" applyFill="1" applyBorder="1" applyProtection="1">
      <alignment horizontal="left" vertical="center" indent="1"/>
      <protection hidden="1"/>
    </xf>
    <xf numFmtId="0" fontId="13" fillId="6" borderId="375" xfId="0" applyFont="1" applyFill="1" applyBorder="1" applyAlignment="1" applyProtection="1">
      <alignment horizontal="center" vertical="center"/>
      <protection locked="0"/>
    </xf>
    <xf numFmtId="0" fontId="13" fillId="6" borderId="378" xfId="0" applyFont="1" applyFill="1" applyBorder="1" applyAlignment="1" applyProtection="1">
      <alignment horizontal="center" vertical="center"/>
      <protection locked="0"/>
    </xf>
    <xf numFmtId="0" fontId="15" fillId="3" borderId="279" xfId="3" applyFont="1" applyFill="1" applyBorder="1" applyProtection="1">
      <alignment horizontal="left" vertical="center" indent="1"/>
      <protection hidden="1"/>
    </xf>
    <xf numFmtId="0" fontId="15" fillId="0" borderId="260" xfId="3" applyFont="1" applyFill="1" applyBorder="1" applyProtection="1">
      <alignment horizontal="left" vertical="center" indent="1"/>
      <protection hidden="1"/>
    </xf>
    <xf numFmtId="0" fontId="15" fillId="0" borderId="261" xfId="3" applyFont="1" applyFill="1" applyBorder="1" applyProtection="1">
      <alignment horizontal="left" vertical="center" indent="1"/>
      <protection hidden="1"/>
    </xf>
    <xf numFmtId="164" fontId="13" fillId="3" borderId="261" xfId="0" applyNumberFormat="1" applyFont="1" applyFill="1" applyBorder="1" applyAlignment="1" applyProtection="1">
      <alignment horizontal="center" vertical="center"/>
      <protection hidden="1"/>
    </xf>
    <xf numFmtId="164" fontId="13" fillId="3" borderId="264" xfId="0" applyNumberFormat="1" applyFont="1" applyFill="1" applyBorder="1" applyAlignment="1" applyProtection="1">
      <alignment horizontal="center" vertical="center"/>
      <protection hidden="1"/>
    </xf>
    <xf numFmtId="164" fontId="13" fillId="3" borderId="262" xfId="0" applyNumberFormat="1" applyFont="1" applyFill="1" applyBorder="1" applyAlignment="1" applyProtection="1">
      <alignment horizontal="center" vertical="center"/>
      <protection hidden="1"/>
    </xf>
    <xf numFmtId="0" fontId="15" fillId="3" borderId="261" xfId="4" applyFont="1" applyFill="1" applyBorder="1" applyProtection="1">
      <alignment horizontal="right" vertical="center" indent="1"/>
      <protection hidden="1"/>
    </xf>
    <xf numFmtId="0" fontId="15" fillId="3" borderId="264" xfId="4" applyFont="1" applyFill="1" applyBorder="1" applyProtection="1">
      <alignment horizontal="right" vertical="center" indent="1"/>
      <protection hidden="1"/>
    </xf>
    <xf numFmtId="0" fontId="15" fillId="3" borderId="261" xfId="3" applyFont="1" applyFill="1" applyBorder="1" applyProtection="1">
      <alignment horizontal="left" vertical="center" indent="1"/>
      <protection hidden="1"/>
    </xf>
    <xf numFmtId="164" fontId="13" fillId="6" borderId="265" xfId="0" applyNumberFormat="1" applyFont="1" applyFill="1" applyBorder="1" applyAlignment="1" applyProtection="1">
      <alignment horizontal="center" vertical="center"/>
      <protection locked="0"/>
    </xf>
    <xf numFmtId="164" fontId="13" fillId="6" borderId="246" xfId="0" applyNumberFormat="1" applyFont="1" applyFill="1" applyBorder="1" applyAlignment="1" applyProtection="1">
      <alignment horizontal="center" vertical="center"/>
      <protection locked="0"/>
    </xf>
    <xf numFmtId="0" fontId="15" fillId="3" borderId="300" xfId="3" applyFont="1" applyFill="1" applyBorder="1" applyAlignment="1" applyProtection="1">
      <alignment horizontal="left" vertical="center" wrapText="1" indent="1"/>
      <protection hidden="1"/>
    </xf>
    <xf numFmtId="0" fontId="15" fillId="3" borderId="258" xfId="3" applyFont="1" applyFill="1" applyBorder="1" applyAlignment="1" applyProtection="1">
      <alignment horizontal="center" vertical="center"/>
      <protection hidden="1"/>
    </xf>
    <xf numFmtId="0" fontId="13" fillId="14" borderId="280" xfId="3" applyFont="1" applyFill="1" applyBorder="1" applyAlignment="1" applyProtection="1">
      <alignment horizontal="center" vertical="center"/>
      <protection hidden="1"/>
    </xf>
    <xf numFmtId="0" fontId="13" fillId="14" borderId="369" xfId="3" applyFont="1" applyFill="1" applyBorder="1" applyAlignment="1" applyProtection="1">
      <alignment horizontal="center" vertical="center"/>
      <protection hidden="1"/>
    </xf>
    <xf numFmtId="0" fontId="13" fillId="14" borderId="276" xfId="3" applyFont="1" applyFill="1" applyBorder="1" applyAlignment="1" applyProtection="1">
      <alignment horizontal="center" vertical="center"/>
      <protection hidden="1"/>
    </xf>
    <xf numFmtId="0" fontId="13" fillId="14" borderId="251" xfId="3" applyFont="1" applyFill="1" applyBorder="1" applyAlignment="1" applyProtection="1">
      <alignment horizontal="center" vertical="center"/>
      <protection hidden="1"/>
    </xf>
    <xf numFmtId="0" fontId="13" fillId="14" borderId="280" xfId="3" applyFont="1" applyFill="1" applyBorder="1" applyAlignment="1" applyProtection="1">
      <alignment horizontal="center" vertical="center" shrinkToFit="1"/>
      <protection hidden="1"/>
    </xf>
    <xf numFmtId="0" fontId="13" fillId="14" borderId="222" xfId="3" applyFont="1" applyFill="1" applyBorder="1" applyAlignment="1" applyProtection="1">
      <alignment horizontal="center" vertical="center" shrinkToFit="1"/>
      <protection hidden="1"/>
    </xf>
    <xf numFmtId="164" fontId="0" fillId="0" borderId="366" xfId="0" applyNumberFormat="1" applyBorder="1" applyAlignment="1" applyProtection="1">
      <alignment horizontal="center" vertical="center"/>
      <protection hidden="1"/>
    </xf>
    <xf numFmtId="164" fontId="0" fillId="0" borderId="367" xfId="0" applyNumberFormat="1" applyBorder="1" applyAlignment="1" applyProtection="1">
      <alignment horizontal="center" vertical="center"/>
      <protection hidden="1"/>
    </xf>
    <xf numFmtId="164" fontId="2" fillId="3" borderId="255" xfId="0" applyNumberFormat="1" applyFont="1" applyFill="1" applyBorder="1" applyAlignment="1" applyProtection="1">
      <alignment horizontal="center" vertical="center"/>
      <protection hidden="1"/>
    </xf>
    <xf numFmtId="164" fontId="2" fillId="3" borderId="275" xfId="0" applyNumberFormat="1" applyFont="1" applyFill="1" applyBorder="1" applyAlignment="1" applyProtection="1">
      <alignment horizontal="center" vertical="center"/>
      <protection hidden="1"/>
    </xf>
    <xf numFmtId="164" fontId="2" fillId="3" borderId="256" xfId="0" applyNumberFormat="1" applyFont="1" applyFill="1" applyBorder="1" applyAlignment="1" applyProtection="1">
      <alignment horizontal="center" vertical="center"/>
      <protection hidden="1"/>
    </xf>
    <xf numFmtId="164" fontId="0" fillId="0" borderId="365" xfId="0" applyNumberFormat="1" applyBorder="1" applyAlignment="1" applyProtection="1">
      <alignment horizontal="center" vertical="center"/>
      <protection hidden="1"/>
    </xf>
    <xf numFmtId="164" fontId="0" fillId="0" borderId="361" xfId="0" applyNumberFormat="1" applyBorder="1" applyAlignment="1" applyProtection="1">
      <alignment horizontal="center" vertical="center"/>
      <protection hidden="1"/>
    </xf>
    <xf numFmtId="0" fontId="13" fillId="3" borderId="350" xfId="4" applyFont="1" applyFill="1" applyBorder="1" applyProtection="1">
      <alignment horizontal="right" vertical="center" indent="1"/>
      <protection hidden="1"/>
    </xf>
    <xf numFmtId="0" fontId="13" fillId="3" borderId="345" xfId="4" applyFont="1" applyFill="1" applyBorder="1" applyProtection="1">
      <alignment horizontal="right" vertical="center" indent="1"/>
      <protection hidden="1"/>
    </xf>
    <xf numFmtId="0" fontId="13" fillId="3" borderId="351" xfId="4" applyFont="1" applyFill="1" applyBorder="1" applyProtection="1">
      <alignment horizontal="right" vertical="center" indent="1"/>
      <protection hidden="1"/>
    </xf>
    <xf numFmtId="0" fontId="15" fillId="3" borderId="279" xfId="0" applyFont="1" applyFill="1" applyBorder="1" applyAlignment="1" applyProtection="1">
      <alignment horizontal="center" vertical="center"/>
      <protection hidden="1"/>
    </xf>
    <xf numFmtId="0" fontId="15" fillId="3" borderId="281" xfId="0" applyFont="1" applyFill="1" applyBorder="1" applyAlignment="1" applyProtection="1">
      <alignment horizontal="center" vertical="center"/>
      <protection hidden="1"/>
    </xf>
    <xf numFmtId="164" fontId="0" fillId="0" borderId="354" xfId="0" applyNumberFormat="1" applyBorder="1" applyAlignment="1" applyProtection="1">
      <alignment horizontal="center" vertical="center"/>
      <protection hidden="1"/>
    </xf>
    <xf numFmtId="164" fontId="0" fillId="0" borderId="346" xfId="0" applyNumberFormat="1" applyBorder="1" applyAlignment="1" applyProtection="1">
      <alignment horizontal="center" vertical="center"/>
      <protection hidden="1"/>
    </xf>
    <xf numFmtId="0" fontId="15" fillId="3" borderId="281" xfId="3" applyFont="1" applyFill="1" applyBorder="1" applyProtection="1">
      <alignment horizontal="left" vertical="center" indent="1"/>
      <protection hidden="1"/>
    </xf>
    <xf numFmtId="164" fontId="0" fillId="0" borderId="355" xfId="0" applyNumberFormat="1" applyBorder="1" applyAlignment="1" applyProtection="1">
      <alignment horizontal="center" vertical="center"/>
      <protection hidden="1"/>
    </xf>
    <xf numFmtId="164" fontId="0" fillId="0" borderId="356" xfId="0" applyNumberFormat="1" applyBorder="1" applyAlignment="1" applyProtection="1">
      <alignment horizontal="center" vertical="center"/>
      <protection hidden="1"/>
    </xf>
    <xf numFmtId="0" fontId="15" fillId="3" borderId="349" xfId="3" applyFont="1" applyFill="1" applyBorder="1" applyProtection="1">
      <alignment horizontal="left" vertical="center" indent="1"/>
      <protection hidden="1"/>
    </xf>
    <xf numFmtId="0" fontId="13" fillId="3" borderId="352" xfId="4" applyFont="1" applyFill="1" applyBorder="1" applyProtection="1">
      <alignment horizontal="right" vertical="center" indent="1"/>
      <protection hidden="1"/>
    </xf>
    <xf numFmtId="0" fontId="13" fillId="3" borderId="347" xfId="4" applyFont="1" applyFill="1" applyBorder="1" applyProtection="1">
      <alignment horizontal="right" vertical="center" indent="1"/>
      <protection hidden="1"/>
    </xf>
    <xf numFmtId="0" fontId="13" fillId="3" borderId="353" xfId="4" applyFont="1" applyFill="1" applyBorder="1" applyProtection="1">
      <alignment horizontal="right" vertical="center" indent="1"/>
      <protection hidden="1"/>
    </xf>
    <xf numFmtId="0" fontId="15" fillId="3" borderId="370" xfId="3" applyFont="1" applyFill="1" applyBorder="1" applyAlignment="1" applyProtection="1">
      <alignment horizontal="center" vertical="center"/>
      <protection hidden="1"/>
    </xf>
    <xf numFmtId="164" fontId="13" fillId="6" borderId="255" xfId="0" applyNumberFormat="1" applyFont="1" applyFill="1" applyBorder="1" applyAlignment="1" applyProtection="1">
      <alignment horizontal="center" vertical="center"/>
      <protection locked="0"/>
    </xf>
    <xf numFmtId="164" fontId="13" fillId="6" borderId="256" xfId="0" applyNumberFormat="1" applyFont="1" applyFill="1" applyBorder="1" applyAlignment="1" applyProtection="1">
      <alignment horizontal="center" vertical="center"/>
      <protection locked="0"/>
    </xf>
    <xf numFmtId="0" fontId="13" fillId="3" borderId="265" xfId="4" applyFont="1" applyFill="1" applyBorder="1" applyProtection="1">
      <alignment horizontal="right" vertical="center" indent="1"/>
      <protection hidden="1"/>
    </xf>
    <xf numFmtId="0" fontId="13" fillId="3" borderId="265" xfId="0" applyFont="1" applyFill="1" applyBorder="1" applyAlignment="1" applyProtection="1">
      <alignment horizontal="center" vertical="center"/>
      <protection hidden="1"/>
    </xf>
    <xf numFmtId="0" fontId="13" fillId="3" borderId="75" xfId="4" applyFont="1" applyFill="1" applyBorder="1" applyProtection="1">
      <alignment horizontal="right" vertical="center" indent="1"/>
      <protection hidden="1"/>
    </xf>
    <xf numFmtId="0" fontId="13" fillId="3" borderId="272" xfId="4" applyFont="1" applyFill="1" applyBorder="1" applyProtection="1">
      <alignment horizontal="right" vertical="center" indent="1"/>
      <protection hidden="1"/>
    </xf>
    <xf numFmtId="0" fontId="0" fillId="6" borderId="284" xfId="4" applyFont="1" applyFill="1" applyBorder="1" applyAlignment="1" applyProtection="1">
      <alignment horizontal="center" vertical="center"/>
      <protection locked="0"/>
    </xf>
    <xf numFmtId="0" fontId="13" fillId="6" borderId="77" xfId="4" applyFont="1" applyFill="1" applyBorder="1" applyAlignment="1" applyProtection="1">
      <alignment horizontal="center" vertical="center"/>
      <protection locked="0"/>
    </xf>
    <xf numFmtId="0" fontId="13" fillId="6" borderId="285" xfId="4" applyFont="1" applyFill="1" applyBorder="1" applyAlignment="1" applyProtection="1">
      <alignment horizontal="center" vertical="center"/>
      <protection locked="0"/>
    </xf>
    <xf numFmtId="0" fontId="13" fillId="6" borderId="360" xfId="4" applyFont="1" applyFill="1" applyBorder="1" applyAlignment="1" applyProtection="1">
      <alignment horizontal="center" vertical="center"/>
      <protection locked="0"/>
    </xf>
    <xf numFmtId="0" fontId="13" fillId="6" borderId="362" xfId="4" applyFont="1" applyFill="1" applyBorder="1" applyAlignment="1" applyProtection="1">
      <alignment horizontal="center" vertical="center"/>
      <protection locked="0"/>
    </xf>
    <xf numFmtId="0" fontId="13" fillId="6" borderId="347" xfId="4" applyFont="1" applyFill="1" applyBorder="1" applyAlignment="1" applyProtection="1">
      <alignment horizontal="center" vertical="center"/>
      <protection locked="0"/>
    </xf>
    <xf numFmtId="0" fontId="13" fillId="6" borderId="379" xfId="4" applyFont="1" applyFill="1" applyBorder="1" applyAlignment="1" applyProtection="1">
      <alignment horizontal="center" vertical="center"/>
      <protection locked="0"/>
    </xf>
    <xf numFmtId="0" fontId="13" fillId="3" borderId="262" xfId="0" applyFont="1" applyFill="1" applyBorder="1" applyAlignment="1" applyProtection="1">
      <alignment horizontal="center" vertical="center"/>
      <protection hidden="1"/>
    </xf>
    <xf numFmtId="0" fontId="13" fillId="3" borderId="260" xfId="0" applyFont="1" applyFill="1" applyBorder="1" applyAlignment="1" applyProtection="1">
      <alignment horizontal="center" vertical="center"/>
      <protection hidden="1"/>
    </xf>
    <xf numFmtId="0" fontId="15" fillId="3" borderId="293" xfId="3" applyFont="1" applyFill="1" applyBorder="1" applyProtection="1">
      <alignment horizontal="left" vertical="center" indent="1"/>
      <protection hidden="1"/>
    </xf>
    <xf numFmtId="0" fontId="15" fillId="3" borderId="272" xfId="3" applyFont="1" applyFill="1" applyBorder="1" applyProtection="1">
      <alignment horizontal="left" vertical="center" indent="1"/>
      <protection hidden="1"/>
    </xf>
    <xf numFmtId="0" fontId="102" fillId="25" borderId="287" xfId="0" applyFont="1" applyFill="1" applyBorder="1" applyAlignment="1" applyProtection="1">
      <alignment horizontal="center" vertical="center"/>
      <protection hidden="1"/>
    </xf>
    <xf numFmtId="0" fontId="102" fillId="25" borderId="9" xfId="0" applyFont="1" applyFill="1" applyBorder="1" applyAlignment="1" applyProtection="1">
      <alignment horizontal="center" vertical="center"/>
      <protection hidden="1"/>
    </xf>
    <xf numFmtId="0" fontId="102" fillId="25" borderId="288" xfId="0" applyFont="1" applyFill="1" applyBorder="1" applyAlignment="1" applyProtection="1">
      <alignment horizontal="center" vertical="center"/>
      <protection hidden="1"/>
    </xf>
    <xf numFmtId="6" fontId="2" fillId="0" borderId="273" xfId="0" applyNumberFormat="1" applyFont="1" applyBorder="1" applyAlignment="1" applyProtection="1">
      <alignment horizontal="center" vertical="center"/>
      <protection hidden="1"/>
    </xf>
    <xf numFmtId="6" fontId="2" fillId="0" borderId="75" xfId="0" applyNumberFormat="1" applyFont="1" applyBorder="1" applyAlignment="1" applyProtection="1">
      <alignment horizontal="center" vertical="center"/>
      <protection hidden="1"/>
    </xf>
    <xf numFmtId="6" fontId="2" fillId="0" borderId="272" xfId="0" applyNumberFormat="1" applyFont="1" applyBorder="1" applyAlignment="1" applyProtection="1">
      <alignment horizontal="center" vertical="center"/>
      <protection hidden="1"/>
    </xf>
    <xf numFmtId="164" fontId="2" fillId="0" borderId="273" xfId="0" applyNumberFormat="1" applyFont="1" applyBorder="1" applyAlignment="1" applyProtection="1">
      <alignment horizontal="center" vertical="center"/>
      <protection hidden="1"/>
    </xf>
    <xf numFmtId="164" fontId="2" fillId="0" borderId="75" xfId="0" applyNumberFormat="1" applyFont="1" applyBorder="1" applyAlignment="1" applyProtection="1">
      <alignment horizontal="center" vertical="center"/>
      <protection hidden="1"/>
    </xf>
    <xf numFmtId="164" fontId="2" fillId="0" borderId="272" xfId="0" applyNumberFormat="1" applyFont="1" applyBorder="1" applyAlignment="1" applyProtection="1">
      <alignment horizontal="center" vertical="center"/>
      <protection hidden="1"/>
    </xf>
    <xf numFmtId="0" fontId="15" fillId="3" borderId="271" xfId="3" applyFont="1" applyFill="1" applyBorder="1" applyProtection="1">
      <alignment horizontal="left" vertical="center" indent="1"/>
      <protection hidden="1"/>
    </xf>
    <xf numFmtId="0" fontId="15" fillId="3" borderId="259" xfId="3" applyFont="1" applyFill="1" applyBorder="1" applyAlignment="1" applyProtection="1">
      <alignment horizontal="left" vertical="center" wrapText="1" indent="1"/>
      <protection hidden="1"/>
    </xf>
    <xf numFmtId="0" fontId="15" fillId="9" borderId="254" xfId="3" applyFont="1" applyFill="1" applyBorder="1" applyAlignment="1" applyProtection="1">
      <alignment horizontal="left" vertical="center" wrapText="1" indent="1"/>
      <protection hidden="1"/>
    </xf>
    <xf numFmtId="0" fontId="15" fillId="9" borderId="248" xfId="3" applyFont="1" applyFill="1" applyBorder="1" applyProtection="1">
      <alignment horizontal="left" vertical="center" indent="1"/>
      <protection hidden="1"/>
    </xf>
    <xf numFmtId="0" fontId="15" fillId="9" borderId="255" xfId="3" applyFont="1" applyFill="1" applyBorder="1" applyProtection="1">
      <alignment horizontal="left" vertical="center" indent="1"/>
      <protection hidden="1"/>
    </xf>
    <xf numFmtId="0" fontId="15" fillId="3" borderId="258" xfId="3" applyFont="1" applyFill="1" applyBorder="1" applyProtection="1">
      <alignment horizontal="left" vertical="center" indent="1"/>
      <protection hidden="1"/>
    </xf>
    <xf numFmtId="0" fontId="15" fillId="3" borderId="258" xfId="3" applyFont="1" applyFill="1" applyBorder="1" applyAlignment="1" applyProtection="1">
      <alignment horizontal="left" vertical="center" wrapText="1" indent="1"/>
      <protection hidden="1"/>
    </xf>
    <xf numFmtId="0" fontId="15" fillId="9" borderId="248" xfId="3" applyFont="1" applyFill="1" applyBorder="1" applyAlignment="1" applyProtection="1">
      <alignment horizontal="left" vertical="center" wrapText="1" indent="1"/>
      <protection hidden="1"/>
    </xf>
    <xf numFmtId="0" fontId="125" fillId="9" borderId="254" xfId="3" applyFont="1" applyFill="1" applyBorder="1" applyAlignment="1" applyProtection="1">
      <alignment horizontal="left" vertical="center" wrapText="1" indent="1"/>
      <protection hidden="1"/>
    </xf>
    <xf numFmtId="0" fontId="15" fillId="3" borderId="259" xfId="3" applyFont="1" applyFill="1" applyBorder="1" applyProtection="1">
      <alignment horizontal="left" vertical="center" indent="1"/>
      <protection hidden="1"/>
    </xf>
    <xf numFmtId="0" fontId="15" fillId="9" borderId="493" xfId="3" applyFont="1" applyFill="1" applyBorder="1" applyAlignment="1" applyProtection="1">
      <alignment horizontal="left" vertical="center" wrapText="1" indent="1"/>
      <protection hidden="1"/>
    </xf>
    <xf numFmtId="0" fontId="15" fillId="9" borderId="494" xfId="3" applyFont="1" applyFill="1" applyBorder="1" applyAlignment="1" applyProtection="1">
      <alignment horizontal="left" vertical="center" wrapText="1" indent="1"/>
      <protection hidden="1"/>
    </xf>
    <xf numFmtId="0" fontId="15" fillId="9" borderId="500" xfId="3" applyFont="1" applyFill="1" applyBorder="1" applyAlignment="1" applyProtection="1">
      <alignment horizontal="left" vertical="center" wrapText="1" indent="1"/>
      <protection hidden="1"/>
    </xf>
    <xf numFmtId="0" fontId="15" fillId="3" borderId="495" xfId="3" applyFont="1" applyFill="1" applyBorder="1" applyProtection="1">
      <alignment horizontal="left" vertical="center" indent="1"/>
      <protection hidden="1"/>
    </xf>
    <xf numFmtId="0" fontId="15" fillId="3" borderId="492" xfId="3" applyFont="1" applyFill="1" applyBorder="1" applyProtection="1">
      <alignment horizontal="left" vertical="center" indent="1"/>
      <protection hidden="1"/>
    </xf>
    <xf numFmtId="0" fontId="15" fillId="3" borderId="495" xfId="3" applyFont="1" applyFill="1" applyBorder="1" applyAlignment="1" applyProtection="1">
      <alignment horizontal="left" vertical="center" wrapText="1" indent="1"/>
      <protection hidden="1"/>
    </xf>
    <xf numFmtId="0" fontId="15" fillId="3" borderId="492" xfId="3" applyFont="1" applyFill="1" applyBorder="1" applyAlignment="1" applyProtection="1">
      <alignment horizontal="left" vertical="center" wrapText="1" indent="1"/>
      <protection hidden="1"/>
    </xf>
    <xf numFmtId="0" fontId="15" fillId="3" borderId="497" xfId="3" applyFont="1" applyFill="1" applyBorder="1" applyProtection="1">
      <alignment horizontal="left" vertical="center" indent="1"/>
      <protection hidden="1"/>
    </xf>
    <xf numFmtId="0" fontId="15" fillId="3" borderId="498" xfId="3" applyFont="1" applyFill="1" applyBorder="1" applyProtection="1">
      <alignment horizontal="left" vertical="center" indent="1"/>
      <protection hidden="1"/>
    </xf>
    <xf numFmtId="0" fontId="127" fillId="3" borderId="258" xfId="3" applyFont="1" applyFill="1" applyBorder="1" applyAlignment="1" applyProtection="1">
      <alignment horizontal="left" vertical="center" wrapText="1" indent="1"/>
      <protection hidden="1"/>
    </xf>
    <xf numFmtId="0" fontId="15" fillId="3" borderId="254" xfId="3" applyFont="1" applyFill="1" applyBorder="1" applyProtection="1">
      <alignment horizontal="left" vertical="center" indent="1"/>
      <protection hidden="1"/>
    </xf>
    <xf numFmtId="0" fontId="16" fillId="29" borderId="0" xfId="3" applyFont="1" applyFill="1" applyBorder="1" applyProtection="1">
      <alignment horizontal="left" vertical="center" indent="1"/>
      <protection hidden="1"/>
    </xf>
    <xf numFmtId="6" fontId="77" fillId="3" borderId="249" xfId="0" applyNumberFormat="1" applyFont="1" applyFill="1" applyBorder="1" applyAlignment="1" applyProtection="1">
      <alignment horizontal="center" vertical="center"/>
      <protection hidden="1"/>
    </xf>
    <xf numFmtId="0" fontId="77" fillId="3" borderId="265" xfId="0" applyFont="1" applyFill="1" applyBorder="1" applyAlignment="1" applyProtection="1">
      <alignment horizontal="center" vertical="center"/>
      <protection hidden="1"/>
    </xf>
    <xf numFmtId="0" fontId="77" fillId="3" borderId="246" xfId="0" applyFont="1" applyFill="1" applyBorder="1" applyAlignment="1" applyProtection="1">
      <alignment horizontal="center" vertical="center"/>
      <protection hidden="1"/>
    </xf>
    <xf numFmtId="172" fontId="77" fillId="3" borderId="300" xfId="4" applyNumberFormat="1" applyFont="1" applyFill="1" applyBorder="1" applyAlignment="1" applyProtection="1">
      <alignment horizontal="center" vertical="center" wrapText="1"/>
      <protection hidden="1"/>
    </xf>
    <xf numFmtId="172" fontId="77" fillId="3" borderId="137" xfId="4" applyNumberFormat="1" applyFont="1" applyFill="1" applyBorder="1" applyAlignment="1" applyProtection="1">
      <alignment horizontal="center" vertical="center" wrapText="1"/>
      <protection hidden="1"/>
    </xf>
    <xf numFmtId="172" fontId="77" fillId="3" borderId="293" xfId="4" applyNumberFormat="1" applyFont="1" applyFill="1" applyBorder="1" applyAlignment="1" applyProtection="1">
      <alignment horizontal="center" vertical="center" wrapText="1"/>
      <protection hidden="1"/>
    </xf>
    <xf numFmtId="172" fontId="77" fillId="3" borderId="253" xfId="4" applyNumberFormat="1" applyFont="1" applyFill="1" applyBorder="1" applyAlignment="1" applyProtection="1">
      <alignment horizontal="center" vertical="center" wrapText="1"/>
      <protection hidden="1"/>
    </xf>
    <xf numFmtId="172" fontId="77" fillId="3" borderId="0" xfId="4" applyNumberFormat="1" applyFont="1" applyFill="1" applyBorder="1" applyAlignment="1" applyProtection="1">
      <alignment horizontal="center" vertical="center" wrapText="1"/>
      <protection hidden="1"/>
    </xf>
    <xf numFmtId="172" fontId="77" fillId="3" borderId="252" xfId="4" applyNumberFormat="1" applyFont="1" applyFill="1" applyBorder="1" applyAlignment="1" applyProtection="1">
      <alignment horizontal="center" vertical="center" wrapText="1"/>
      <protection hidden="1"/>
    </xf>
    <xf numFmtId="172" fontId="77" fillId="3" borderId="273" xfId="4" applyNumberFormat="1" applyFont="1" applyFill="1" applyBorder="1" applyAlignment="1" applyProtection="1">
      <alignment horizontal="center" vertical="center" wrapText="1"/>
      <protection hidden="1"/>
    </xf>
    <xf numFmtId="172" fontId="77" fillId="3" borderId="75" xfId="4" applyNumberFormat="1" applyFont="1" applyFill="1" applyBorder="1" applyAlignment="1" applyProtection="1">
      <alignment horizontal="center" vertical="center" wrapText="1"/>
      <protection hidden="1"/>
    </xf>
    <xf numFmtId="172" fontId="77" fillId="3" borderId="272" xfId="4" applyNumberFormat="1" applyFont="1" applyFill="1" applyBorder="1" applyAlignment="1" applyProtection="1">
      <alignment horizontal="center" vertical="center" wrapText="1"/>
      <protection hidden="1"/>
    </xf>
    <xf numFmtId="0" fontId="77" fillId="3" borderId="0" xfId="4" applyFont="1" applyFill="1" applyBorder="1" applyAlignment="1" applyProtection="1">
      <alignment horizontal="right" vertical="center" wrapText="1" indent="1"/>
      <protection hidden="1"/>
    </xf>
    <xf numFmtId="0" fontId="77" fillId="3" borderId="252" xfId="4" applyFont="1" applyFill="1" applyBorder="1" applyAlignment="1" applyProtection="1">
      <alignment horizontal="right" vertical="center" wrapText="1" indent="1"/>
      <protection hidden="1"/>
    </xf>
    <xf numFmtId="0" fontId="86" fillId="3" borderId="208" xfId="0" applyFont="1" applyFill="1" applyBorder="1" applyAlignment="1" applyProtection="1">
      <alignment vertical="center" wrapText="1"/>
      <protection hidden="1"/>
    </xf>
    <xf numFmtId="0" fontId="86" fillId="3" borderId="229" xfId="0" applyFont="1" applyFill="1" applyBorder="1" applyAlignment="1" applyProtection="1">
      <alignment vertical="center" wrapText="1"/>
      <protection hidden="1"/>
    </xf>
    <xf numFmtId="6" fontId="15" fillId="3" borderId="0" xfId="4" applyNumberFormat="1" applyFont="1" applyFill="1" applyBorder="1" applyAlignment="1" applyProtection="1">
      <alignment horizontal="right" vertical="center" wrapText="1" indent="1"/>
      <protection hidden="1"/>
    </xf>
    <xf numFmtId="6" fontId="107" fillId="3" borderId="273" xfId="4" applyNumberFormat="1" applyFont="1" applyFill="1" applyBorder="1" applyAlignment="1" applyProtection="1">
      <alignment horizontal="center" vertical="center"/>
      <protection hidden="1"/>
    </xf>
    <xf numFmtId="0" fontId="107" fillId="3" borderId="75" xfId="4" applyFont="1" applyFill="1" applyBorder="1" applyAlignment="1" applyProtection="1">
      <alignment horizontal="center" vertical="center"/>
      <protection hidden="1"/>
    </xf>
    <xf numFmtId="0" fontId="107" fillId="3" borderId="272" xfId="4" applyFont="1" applyFill="1" applyBorder="1" applyAlignment="1" applyProtection="1">
      <alignment horizontal="center" vertical="center"/>
      <protection hidden="1"/>
    </xf>
    <xf numFmtId="6" fontId="107" fillId="3" borderId="273" xfId="0" applyNumberFormat="1" applyFont="1" applyFill="1" applyBorder="1" applyAlignment="1" applyProtection="1">
      <alignment horizontal="center" vertical="center"/>
      <protection hidden="1"/>
    </xf>
    <xf numFmtId="0" fontId="107" fillId="3" borderId="75" xfId="0" applyFont="1" applyFill="1" applyBorder="1" applyAlignment="1" applyProtection="1">
      <alignment horizontal="center" vertical="center"/>
      <protection hidden="1"/>
    </xf>
    <xf numFmtId="0" fontId="107" fillId="3" borderId="272" xfId="0" applyFont="1" applyFill="1" applyBorder="1" applyAlignment="1" applyProtection="1">
      <alignment horizontal="center" vertical="center"/>
      <protection hidden="1"/>
    </xf>
    <xf numFmtId="0" fontId="77" fillId="3" borderId="300" xfId="0" applyFont="1" applyFill="1" applyBorder="1" applyAlignment="1" applyProtection="1">
      <alignment horizontal="center" vertical="center"/>
      <protection hidden="1"/>
    </xf>
    <xf numFmtId="0" fontId="77" fillId="3" borderId="137" xfId="0" applyFont="1" applyFill="1" applyBorder="1" applyAlignment="1" applyProtection="1">
      <alignment horizontal="center" vertical="center"/>
      <protection hidden="1"/>
    </xf>
    <xf numFmtId="0" fontId="77" fillId="3" borderId="293" xfId="0" applyFont="1" applyFill="1" applyBorder="1" applyAlignment="1" applyProtection="1">
      <alignment horizontal="center" vertical="center"/>
      <protection hidden="1"/>
    </xf>
    <xf numFmtId="0" fontId="107" fillId="3" borderId="0" xfId="4" applyFont="1" applyFill="1" applyBorder="1" applyAlignment="1" applyProtection="1">
      <alignment horizontal="left" vertical="center" wrapText="1"/>
      <protection hidden="1"/>
    </xf>
    <xf numFmtId="0" fontId="107" fillId="3" borderId="252" xfId="4" applyFont="1" applyFill="1" applyBorder="1" applyAlignment="1" applyProtection="1">
      <alignment horizontal="left" vertical="center" wrapText="1"/>
      <protection hidden="1"/>
    </xf>
    <xf numFmtId="168" fontId="104" fillId="3" borderId="300" xfId="0" applyNumberFormat="1" applyFont="1" applyFill="1" applyBorder="1" applyAlignment="1" applyProtection="1">
      <alignment horizontal="center" vertical="center"/>
      <protection hidden="1"/>
    </xf>
    <xf numFmtId="168" fontId="104" fillId="3" borderId="137" xfId="0" applyNumberFormat="1" applyFont="1" applyFill="1" applyBorder="1" applyAlignment="1" applyProtection="1">
      <alignment horizontal="center" vertical="center"/>
      <protection hidden="1"/>
    </xf>
    <xf numFmtId="168" fontId="104" fillId="3" borderId="253" xfId="0" applyNumberFormat="1" applyFont="1" applyFill="1" applyBorder="1" applyAlignment="1" applyProtection="1">
      <alignment horizontal="center" vertical="center"/>
      <protection hidden="1"/>
    </xf>
    <xf numFmtId="168" fontId="104" fillId="3" borderId="0" xfId="0" applyNumberFormat="1" applyFont="1" applyFill="1" applyAlignment="1" applyProtection="1">
      <alignment horizontal="center" vertical="center"/>
      <protection hidden="1"/>
    </xf>
    <xf numFmtId="168" fontId="104" fillId="3" borderId="273" xfId="0" applyNumberFormat="1" applyFont="1" applyFill="1" applyBorder="1" applyAlignment="1" applyProtection="1">
      <alignment horizontal="center" vertical="center"/>
      <protection hidden="1"/>
    </xf>
    <xf numFmtId="168" fontId="104" fillId="3" borderId="75" xfId="0" applyNumberFormat="1" applyFont="1" applyFill="1" applyBorder="1" applyAlignment="1" applyProtection="1">
      <alignment horizontal="center" vertical="center"/>
      <protection hidden="1"/>
    </xf>
    <xf numFmtId="6" fontId="107" fillId="3" borderId="75" xfId="0" applyNumberFormat="1" applyFont="1" applyFill="1" applyBorder="1" applyAlignment="1" applyProtection="1">
      <alignment horizontal="center" vertical="center"/>
      <protection hidden="1"/>
    </xf>
    <xf numFmtId="6" fontId="107" fillId="3" borderId="272" xfId="0" applyNumberFormat="1" applyFont="1" applyFill="1" applyBorder="1" applyAlignment="1" applyProtection="1">
      <alignment horizontal="center" vertical="center"/>
      <protection hidden="1"/>
    </xf>
    <xf numFmtId="0" fontId="77" fillId="3" borderId="300" xfId="4" applyFont="1" applyFill="1" applyBorder="1" applyAlignment="1" applyProtection="1">
      <alignment horizontal="center" vertical="center"/>
      <protection hidden="1"/>
    </xf>
    <xf numFmtId="0" fontId="77" fillId="3" borderId="137" xfId="4" applyFont="1" applyFill="1" applyBorder="1" applyAlignment="1" applyProtection="1">
      <alignment horizontal="center" vertical="center"/>
      <protection hidden="1"/>
    </xf>
    <xf numFmtId="0" fontId="77" fillId="3" borderId="293" xfId="4" applyFont="1" applyFill="1" applyBorder="1" applyAlignment="1" applyProtection="1">
      <alignment horizontal="center" vertical="center"/>
      <protection hidden="1"/>
    </xf>
    <xf numFmtId="6" fontId="77" fillId="3" borderId="249" xfId="4" applyNumberFormat="1" applyFont="1" applyFill="1" applyBorder="1" applyAlignment="1" applyProtection="1">
      <alignment horizontal="center" vertical="center"/>
      <protection hidden="1"/>
    </xf>
    <xf numFmtId="0" fontId="77" fillId="3" borderId="265" xfId="4" applyFont="1" applyFill="1" applyBorder="1" applyAlignment="1" applyProtection="1">
      <alignment horizontal="center" vertical="center"/>
      <protection hidden="1"/>
    </xf>
    <xf numFmtId="0" fontId="77" fillId="3" borderId="246" xfId="4" applyFont="1" applyFill="1" applyBorder="1" applyAlignment="1" applyProtection="1">
      <alignment horizontal="center" vertical="center"/>
      <protection hidden="1"/>
    </xf>
    <xf numFmtId="0" fontId="77" fillId="3" borderId="0" xfId="4" applyFont="1" applyFill="1" applyBorder="1" applyAlignment="1" applyProtection="1">
      <alignment horizontal="left" vertical="center" wrapText="1"/>
      <protection hidden="1"/>
    </xf>
    <xf numFmtId="0" fontId="77" fillId="3" borderId="252" xfId="4" applyFont="1" applyFill="1" applyBorder="1" applyAlignment="1" applyProtection="1">
      <alignment horizontal="left" vertical="center" wrapText="1"/>
      <protection hidden="1"/>
    </xf>
    <xf numFmtId="49" fontId="15" fillId="6" borderId="190" xfId="2" applyNumberFormat="1" applyFont="1" applyFill="1" applyBorder="1" applyAlignment="1" applyProtection="1">
      <alignment horizontal="center" vertical="center"/>
      <protection locked="0"/>
    </xf>
    <xf numFmtId="49" fontId="15" fillId="6" borderId="197" xfId="0" applyNumberFormat="1" applyFont="1" applyFill="1" applyBorder="1" applyAlignment="1" applyProtection="1">
      <alignment horizontal="center" vertical="center"/>
      <protection locked="0"/>
    </xf>
    <xf numFmtId="49" fontId="15" fillId="6" borderId="16" xfId="0" applyNumberFormat="1" applyFont="1" applyFill="1" applyBorder="1" applyAlignment="1" applyProtection="1">
      <alignment horizontal="center" vertical="center"/>
      <protection locked="0"/>
    </xf>
    <xf numFmtId="0" fontId="15" fillId="6" borderId="190" xfId="0" applyFont="1" applyFill="1" applyBorder="1" applyAlignment="1" applyProtection="1">
      <alignment horizontal="center" vertical="center"/>
      <protection locked="0"/>
    </xf>
    <xf numFmtId="0" fontId="15" fillId="6" borderId="197" xfId="0" applyFont="1" applyFill="1" applyBorder="1" applyAlignment="1" applyProtection="1">
      <alignment horizontal="center" vertical="center"/>
      <protection locked="0"/>
    </xf>
    <xf numFmtId="0" fontId="15" fillId="6" borderId="16" xfId="0" applyFont="1" applyFill="1" applyBorder="1" applyAlignment="1" applyProtection="1">
      <alignment horizontal="center" vertical="center"/>
      <protection locked="0"/>
    </xf>
    <xf numFmtId="168" fontId="77" fillId="3" borderId="249" xfId="0" quotePrefix="1" applyNumberFormat="1" applyFont="1" applyFill="1" applyBorder="1" applyAlignment="1" applyProtection="1">
      <alignment horizontal="center" vertical="center"/>
      <protection hidden="1"/>
    </xf>
    <xf numFmtId="168" fontId="77" fillId="3" borderId="246" xfId="0" applyNumberFormat="1" applyFont="1" applyFill="1" applyBorder="1" applyAlignment="1" applyProtection="1">
      <alignment horizontal="center" vertical="center"/>
      <protection hidden="1"/>
    </xf>
    <xf numFmtId="0" fontId="77" fillId="3" borderId="249" xfId="3" applyFont="1" applyFill="1" applyBorder="1" applyProtection="1">
      <alignment horizontal="left" vertical="center" indent="1"/>
      <protection hidden="1"/>
    </xf>
    <xf numFmtId="0" fontId="77" fillId="3" borderId="265" xfId="3" applyFont="1" applyFill="1" applyBorder="1" applyProtection="1">
      <alignment horizontal="left" vertical="center" indent="1"/>
      <protection hidden="1"/>
    </xf>
    <xf numFmtId="0" fontId="77" fillId="3" borderId="246" xfId="3" applyFont="1" applyFill="1" applyBorder="1" applyProtection="1">
      <alignment horizontal="left" vertical="center" indent="1"/>
      <protection hidden="1"/>
    </xf>
    <xf numFmtId="0" fontId="77" fillId="3" borderId="249" xfId="0" quotePrefix="1" applyFont="1" applyFill="1" applyBorder="1" applyAlignment="1" applyProtection="1">
      <alignment horizontal="center" vertical="center"/>
      <protection hidden="1"/>
    </xf>
    <xf numFmtId="0" fontId="77" fillId="3" borderId="246" xfId="0" quotePrefix="1" applyFont="1" applyFill="1" applyBorder="1" applyAlignment="1" applyProtection="1">
      <alignment horizontal="center" vertical="center"/>
      <protection hidden="1"/>
    </xf>
    <xf numFmtId="0" fontId="104" fillId="10" borderId="98" xfId="3" applyFont="1" applyFill="1" applyBorder="1" applyProtection="1">
      <alignment horizontal="left" vertical="center" indent="1"/>
      <protection hidden="1"/>
    </xf>
    <xf numFmtId="0" fontId="104" fillId="10" borderId="100" xfId="3" applyFont="1" applyFill="1" applyBorder="1" applyProtection="1">
      <alignment horizontal="left" vertical="center" indent="1"/>
      <protection hidden="1"/>
    </xf>
    <xf numFmtId="0" fontId="104" fillId="10" borderId="99" xfId="3" applyFont="1" applyFill="1" applyBorder="1" applyProtection="1">
      <alignment horizontal="left" vertical="center" indent="1"/>
      <protection hidden="1"/>
    </xf>
    <xf numFmtId="0" fontId="104" fillId="3" borderId="399" xfId="3" applyFont="1" applyFill="1" applyBorder="1" applyProtection="1">
      <alignment horizontal="left" vertical="center" indent="1"/>
      <protection hidden="1"/>
    </xf>
    <xf numFmtId="0" fontId="104" fillId="3" borderId="196" xfId="3" applyFont="1" applyFill="1" applyBorder="1" applyProtection="1">
      <alignment horizontal="left" vertical="center" indent="1"/>
      <protection hidden="1"/>
    </xf>
    <xf numFmtId="0" fontId="104" fillId="3" borderId="211" xfId="3" applyFont="1" applyFill="1" applyBorder="1" applyProtection="1">
      <alignment horizontal="left" vertical="center" indent="1"/>
      <protection hidden="1"/>
    </xf>
    <xf numFmtId="0" fontId="104" fillId="3" borderId="400" xfId="3" applyFont="1" applyFill="1" applyBorder="1" applyProtection="1">
      <alignment horizontal="left" vertical="center" indent="1"/>
      <protection hidden="1"/>
    </xf>
    <xf numFmtId="0" fontId="104" fillId="3" borderId="401" xfId="3" applyFont="1" applyFill="1" applyBorder="1" applyProtection="1">
      <alignment horizontal="left" vertical="center" indent="1"/>
      <protection hidden="1"/>
    </xf>
    <xf numFmtId="0" fontId="104" fillId="3" borderId="402" xfId="3" applyFont="1" applyFill="1" applyBorder="1" applyProtection="1">
      <alignment horizontal="left" vertical="center" indent="1"/>
      <protection hidden="1"/>
    </xf>
    <xf numFmtId="0" fontId="104" fillId="3" borderId="10" xfId="3" applyFont="1" applyFill="1" applyBorder="1" applyProtection="1">
      <alignment horizontal="left" vertical="center" indent="1"/>
      <protection hidden="1"/>
    </xf>
    <xf numFmtId="0" fontId="104" fillId="3" borderId="11" xfId="3" applyFont="1" applyFill="1" applyBorder="1" applyProtection="1">
      <alignment horizontal="left" vertical="center" indent="1"/>
      <protection hidden="1"/>
    </xf>
    <xf numFmtId="0" fontId="104" fillId="3" borderId="92" xfId="3" applyFont="1" applyFill="1" applyBorder="1" applyProtection="1">
      <alignment horizontal="left" vertical="center" indent="1"/>
      <protection hidden="1"/>
    </xf>
    <xf numFmtId="0" fontId="104" fillId="3" borderId="97" xfId="3" applyFont="1" applyFill="1" applyBorder="1" applyProtection="1">
      <alignment horizontal="left" vertical="center" indent="1"/>
      <protection hidden="1"/>
    </xf>
    <xf numFmtId="0" fontId="104" fillId="3" borderId="0" xfId="3" applyFont="1" applyFill="1" applyBorder="1" applyProtection="1">
      <alignment horizontal="left" vertical="center" indent="1"/>
      <protection hidden="1"/>
    </xf>
    <xf numFmtId="0" fontId="104" fillId="3" borderId="73" xfId="3" applyFont="1" applyFill="1" applyBorder="1" applyProtection="1">
      <alignment horizontal="left" vertical="center" indent="1"/>
      <protection hidden="1"/>
    </xf>
    <xf numFmtId="0" fontId="104" fillId="3" borderId="77" xfId="0" applyFont="1" applyFill="1" applyBorder="1" applyAlignment="1" applyProtection="1">
      <alignment horizontal="center" vertical="center" wrapText="1"/>
      <protection hidden="1"/>
    </xf>
    <xf numFmtId="0" fontId="104" fillId="3" borderId="214" xfId="0" applyFont="1" applyFill="1" applyBorder="1" applyAlignment="1" applyProtection="1">
      <alignment horizontal="center" vertical="center" wrapText="1"/>
      <protection hidden="1"/>
    </xf>
    <xf numFmtId="0" fontId="104" fillId="3" borderId="0" xfId="0" applyFont="1" applyFill="1" applyAlignment="1" applyProtection="1">
      <alignment horizontal="center" vertical="center" wrapText="1"/>
      <protection hidden="1"/>
    </xf>
    <xf numFmtId="0" fontId="104" fillId="3" borderId="73" xfId="0" applyFont="1" applyFill="1" applyBorder="1" applyAlignment="1" applyProtection="1">
      <alignment horizontal="center" vertical="center" wrapText="1"/>
      <protection hidden="1"/>
    </xf>
    <xf numFmtId="0" fontId="104" fillId="3" borderId="403" xfId="0" applyFont="1" applyFill="1" applyBorder="1" applyAlignment="1" applyProtection="1">
      <alignment horizontal="center" vertical="center" wrapText="1"/>
      <protection hidden="1"/>
    </xf>
    <xf numFmtId="0" fontId="104" fillId="3" borderId="207" xfId="0" applyFont="1" applyFill="1" applyBorder="1" applyAlignment="1" applyProtection="1">
      <alignment horizontal="center" vertical="center" wrapText="1"/>
      <protection hidden="1"/>
    </xf>
    <xf numFmtId="0" fontId="104" fillId="3" borderId="130" xfId="0" applyFont="1" applyFill="1" applyBorder="1" applyAlignment="1" applyProtection="1">
      <alignment horizontal="center" vertical="center" wrapText="1"/>
      <protection hidden="1"/>
    </xf>
    <xf numFmtId="0" fontId="104" fillId="3" borderId="404" xfId="0" applyFont="1" applyFill="1" applyBorder="1" applyAlignment="1" applyProtection="1">
      <alignment horizontal="center" vertical="center" wrapText="1"/>
      <protection hidden="1"/>
    </xf>
    <xf numFmtId="0" fontId="104" fillId="3" borderId="226" xfId="0" applyFont="1" applyFill="1" applyBorder="1" applyAlignment="1" applyProtection="1">
      <alignment vertical="center" wrapText="1"/>
      <protection hidden="1"/>
    </xf>
    <xf numFmtId="0" fontId="104" fillId="3" borderId="227" xfId="0" applyFont="1" applyFill="1" applyBorder="1" applyAlignment="1" applyProtection="1">
      <alignment vertical="center" wrapText="1"/>
      <protection hidden="1"/>
    </xf>
    <xf numFmtId="0" fontId="104" fillId="3" borderId="228" xfId="0" applyFont="1" applyFill="1" applyBorder="1" applyAlignment="1" applyProtection="1">
      <alignment vertical="center" wrapText="1"/>
      <protection hidden="1"/>
    </xf>
    <xf numFmtId="0" fontId="104" fillId="3" borderId="80" xfId="0" applyFont="1" applyFill="1" applyBorder="1" applyAlignment="1" applyProtection="1">
      <alignment vertical="center" wrapText="1"/>
      <protection hidden="1"/>
    </xf>
    <xf numFmtId="0" fontId="104" fillId="3" borderId="218" xfId="0" applyFont="1" applyFill="1" applyBorder="1" applyAlignment="1" applyProtection="1">
      <alignment vertical="center" wrapText="1"/>
      <protection hidden="1"/>
    </xf>
    <xf numFmtId="0" fontId="104" fillId="3" borderId="82" xfId="0" applyFont="1" applyFill="1" applyBorder="1" applyAlignment="1" applyProtection="1">
      <alignment vertical="center" wrapText="1"/>
      <protection hidden="1"/>
    </xf>
    <xf numFmtId="0" fontId="77" fillId="3" borderId="0" xfId="4" applyFont="1" applyFill="1" applyBorder="1" applyAlignment="1" applyProtection="1">
      <alignment horizontal="right" wrapText="1"/>
      <protection hidden="1"/>
    </xf>
    <xf numFmtId="0" fontId="104" fillId="9" borderId="0" xfId="0" applyFont="1" applyFill="1" applyAlignment="1" applyProtection="1">
      <alignment horizontal="center" vertical="center"/>
      <protection hidden="1"/>
    </xf>
    <xf numFmtId="0" fontId="104" fillId="3" borderId="209" xfId="0" applyFont="1" applyFill="1" applyBorder="1" applyAlignment="1" applyProtection="1">
      <alignment vertical="center" wrapText="1"/>
      <protection hidden="1"/>
    </xf>
    <xf numFmtId="0" fontId="104" fillId="3" borderId="220" xfId="0" applyFont="1" applyFill="1" applyBorder="1" applyAlignment="1" applyProtection="1">
      <alignment vertical="center" wrapText="1"/>
      <protection hidden="1"/>
    </xf>
    <xf numFmtId="0" fontId="104" fillId="3" borderId="221" xfId="0" applyFont="1" applyFill="1" applyBorder="1" applyAlignment="1" applyProtection="1">
      <alignment vertical="center" wrapText="1"/>
      <protection hidden="1"/>
    </xf>
    <xf numFmtId="0" fontId="77" fillId="3" borderId="249" xfId="0" applyFont="1" applyFill="1" applyBorder="1" applyAlignment="1" applyProtection="1">
      <alignment horizontal="center" vertical="center"/>
      <protection hidden="1"/>
    </xf>
    <xf numFmtId="0" fontId="104" fillId="3" borderId="73" xfId="0" applyFont="1" applyFill="1" applyBorder="1" applyAlignment="1" applyProtection="1">
      <alignment vertical="center" wrapText="1"/>
      <protection hidden="1"/>
    </xf>
    <xf numFmtId="0" fontId="104" fillId="3" borderId="217" xfId="0" applyFont="1" applyFill="1" applyBorder="1" applyAlignment="1" applyProtection="1">
      <alignment vertical="center" wrapText="1"/>
      <protection hidden="1"/>
    </xf>
    <xf numFmtId="0" fontId="104" fillId="3" borderId="91" xfId="0" applyFont="1" applyFill="1" applyBorder="1" applyAlignment="1" applyProtection="1">
      <alignment vertical="center" wrapText="1"/>
      <protection hidden="1"/>
    </xf>
    <xf numFmtId="0" fontId="111" fillId="3" borderId="0" xfId="0" applyFont="1" applyFill="1" applyAlignment="1" applyProtection="1">
      <alignment horizontal="left" vertical="top" wrapText="1"/>
      <protection hidden="1"/>
    </xf>
    <xf numFmtId="0" fontId="104" fillId="3" borderId="207" xfId="0" applyFont="1" applyFill="1" applyBorder="1" applyAlignment="1" applyProtection="1">
      <alignment vertical="center" wrapText="1"/>
      <protection hidden="1"/>
    </xf>
    <xf numFmtId="0" fontId="104" fillId="3" borderId="230" xfId="0" applyFont="1" applyFill="1" applyBorder="1" applyAlignment="1" applyProtection="1">
      <alignment vertical="center" wrapText="1"/>
      <protection hidden="1"/>
    </xf>
    <xf numFmtId="0" fontId="104" fillId="3" borderId="231" xfId="0" applyFont="1" applyFill="1" applyBorder="1" applyAlignment="1" applyProtection="1">
      <alignment vertical="center" wrapText="1"/>
      <protection hidden="1"/>
    </xf>
    <xf numFmtId="0" fontId="107" fillId="3" borderId="249" xfId="3" applyFont="1" applyFill="1" applyBorder="1" applyProtection="1">
      <alignment horizontal="left" vertical="center" indent="1"/>
      <protection hidden="1"/>
    </xf>
    <xf numFmtId="0" fontId="107" fillId="3" borderId="265" xfId="3" applyFont="1" applyFill="1" applyBorder="1" applyProtection="1">
      <alignment horizontal="left" vertical="center" indent="1"/>
      <protection hidden="1"/>
    </xf>
    <xf numFmtId="0" fontId="107" fillId="3" borderId="246" xfId="3" applyFont="1" applyFill="1" applyBorder="1" applyProtection="1">
      <alignment horizontal="left" vertical="center" indent="1"/>
      <protection hidden="1"/>
    </xf>
    <xf numFmtId="14" fontId="77" fillId="3" borderId="249" xfId="0" applyNumberFormat="1" applyFont="1" applyFill="1" applyBorder="1" applyAlignment="1" applyProtection="1">
      <alignment horizontal="center" vertical="center"/>
      <protection hidden="1"/>
    </xf>
    <xf numFmtId="0" fontId="113" fillId="3" borderId="0" xfId="4" applyFont="1" applyFill="1" applyBorder="1" applyAlignment="1" applyProtection="1">
      <alignment horizontal="right" vertical="center" wrapText="1" indent="1"/>
      <protection hidden="1"/>
    </xf>
    <xf numFmtId="0" fontId="113" fillId="3" borderId="252" xfId="4" applyFont="1" applyFill="1" applyBorder="1" applyAlignment="1" applyProtection="1">
      <alignment horizontal="right" vertical="center" wrapText="1" indent="1"/>
      <protection hidden="1"/>
    </xf>
    <xf numFmtId="0" fontId="98" fillId="3" borderId="137" xfId="3" applyFont="1" applyFill="1" applyBorder="1" applyAlignment="1" applyProtection="1">
      <alignment horizontal="left" vertical="center" wrapText="1" indent="1"/>
      <protection hidden="1"/>
    </xf>
    <xf numFmtId="0" fontId="98" fillId="3" borderId="293" xfId="3" applyFont="1" applyFill="1" applyBorder="1" applyAlignment="1" applyProtection="1">
      <alignment horizontal="left" vertical="center" wrapText="1" indent="1"/>
      <protection hidden="1"/>
    </xf>
    <xf numFmtId="0" fontId="98" fillId="3" borderId="0" xfId="3" applyFont="1" applyFill="1" applyBorder="1" applyAlignment="1" applyProtection="1">
      <alignment horizontal="left" vertical="center" wrapText="1" indent="1"/>
      <protection hidden="1"/>
    </xf>
    <xf numFmtId="0" fontId="98" fillId="3" borderId="252" xfId="3" applyFont="1" applyFill="1" applyBorder="1" applyAlignment="1" applyProtection="1">
      <alignment horizontal="left" vertical="center" wrapText="1" indent="1"/>
      <protection hidden="1"/>
    </xf>
    <xf numFmtId="0" fontId="98" fillId="3" borderId="75" xfId="3" applyFont="1" applyFill="1" applyBorder="1" applyAlignment="1" applyProtection="1">
      <alignment horizontal="left" vertical="center" wrapText="1" indent="1"/>
      <protection hidden="1"/>
    </xf>
    <xf numFmtId="0" fontId="98" fillId="3" borderId="272" xfId="3" applyFont="1" applyFill="1" applyBorder="1" applyAlignment="1" applyProtection="1">
      <alignment horizontal="left" vertical="center" wrapText="1" indent="1"/>
      <protection hidden="1"/>
    </xf>
    <xf numFmtId="164" fontId="77" fillId="3" borderId="249" xfId="0" applyNumberFormat="1" applyFont="1" applyFill="1" applyBorder="1" applyAlignment="1" applyProtection="1">
      <alignment horizontal="center" vertical="center"/>
      <protection hidden="1"/>
    </xf>
    <xf numFmtId="164" fontId="77" fillId="3" borderId="246" xfId="0" applyNumberFormat="1" applyFont="1" applyFill="1" applyBorder="1" applyAlignment="1" applyProtection="1">
      <alignment horizontal="center" vertical="center"/>
      <protection hidden="1"/>
    </xf>
    <xf numFmtId="168" fontId="104" fillId="3" borderId="249" xfId="0" applyNumberFormat="1" applyFont="1" applyFill="1" applyBorder="1" applyAlignment="1" applyProtection="1">
      <alignment horizontal="center" vertical="center"/>
      <protection hidden="1"/>
    </xf>
    <xf numFmtId="168" fontId="104" fillId="3" borderId="246" xfId="0" applyNumberFormat="1" applyFont="1" applyFill="1" applyBorder="1" applyAlignment="1" applyProtection="1">
      <alignment horizontal="center" vertical="center"/>
      <protection hidden="1"/>
    </xf>
    <xf numFmtId="0" fontId="77" fillId="3" borderId="0" xfId="4" applyFont="1" applyFill="1" applyBorder="1" applyProtection="1">
      <alignment horizontal="right" vertical="center" indent="1"/>
      <protection hidden="1"/>
    </xf>
    <xf numFmtId="0" fontId="77" fillId="3" borderId="252" xfId="4" applyFont="1" applyFill="1" applyBorder="1" applyProtection="1">
      <alignment horizontal="right" vertical="center" indent="1"/>
      <protection hidden="1"/>
    </xf>
    <xf numFmtId="0" fontId="104" fillId="3" borderId="133" xfId="0" applyFont="1" applyFill="1" applyBorder="1" applyAlignment="1" applyProtection="1">
      <alignment vertical="center" wrapText="1"/>
      <protection hidden="1"/>
    </xf>
    <xf numFmtId="0" fontId="104" fillId="3" borderId="208" xfId="0" applyFont="1" applyFill="1" applyBorder="1" applyAlignment="1" applyProtection="1">
      <alignment vertical="center" wrapText="1"/>
      <protection hidden="1"/>
    </xf>
    <xf numFmtId="0" fontId="104" fillId="3" borderId="79" xfId="0" applyFont="1" applyFill="1" applyBorder="1" applyAlignment="1" applyProtection="1">
      <alignment vertical="center" wrapText="1"/>
      <protection hidden="1"/>
    </xf>
    <xf numFmtId="0" fontId="104" fillId="3" borderId="223" xfId="0" applyFont="1" applyFill="1" applyBorder="1" applyAlignment="1" applyProtection="1">
      <alignment vertical="center" wrapText="1"/>
      <protection hidden="1"/>
    </xf>
    <xf numFmtId="0" fontId="104" fillId="3" borderId="224" xfId="0" applyFont="1" applyFill="1" applyBorder="1" applyAlignment="1" applyProtection="1">
      <alignment vertical="center" wrapText="1"/>
      <protection hidden="1"/>
    </xf>
    <xf numFmtId="0" fontId="132" fillId="0" borderId="235" xfId="0" applyFont="1" applyBorder="1" applyAlignment="1">
      <alignment horizontal="left" vertical="center" indent="1"/>
    </xf>
    <xf numFmtId="0" fontId="0" fillId="3" borderId="235" xfId="0" applyFill="1" applyBorder="1" applyAlignment="1" applyProtection="1">
      <alignment horizontal="left" vertical="center" indent="1"/>
      <protection hidden="1"/>
    </xf>
    <xf numFmtId="0" fontId="13" fillId="3" borderId="235" xfId="0" applyFont="1" applyFill="1" applyBorder="1" applyAlignment="1" applyProtection="1">
      <alignment horizontal="left" vertical="center" indent="1"/>
      <protection hidden="1"/>
    </xf>
    <xf numFmtId="0" fontId="0" fillId="3" borderId="0" xfId="0" applyFill="1" applyAlignment="1">
      <alignment horizontal="center" vertical="center"/>
    </xf>
    <xf numFmtId="0" fontId="0" fillId="3" borderId="54" xfId="0" applyFill="1" applyBorder="1" applyAlignment="1">
      <alignment horizontal="center" vertical="center"/>
    </xf>
    <xf numFmtId="0" fontId="0" fillId="3" borderId="171" xfId="0" applyFill="1" applyBorder="1" applyAlignment="1">
      <alignment horizontal="center" vertical="center"/>
    </xf>
    <xf numFmtId="0" fontId="0" fillId="3" borderId="243" xfId="0" applyFill="1" applyBorder="1" applyAlignment="1">
      <alignment horizontal="center" vertical="center"/>
    </xf>
    <xf numFmtId="0" fontId="0" fillId="3" borderId="164" xfId="0" applyFill="1" applyBorder="1" applyAlignment="1">
      <alignment horizontal="center" vertical="center"/>
    </xf>
    <xf numFmtId="0" fontId="0" fillId="3" borderId="85" xfId="0" applyFill="1" applyBorder="1" applyAlignment="1">
      <alignment horizontal="center" vertical="center"/>
    </xf>
    <xf numFmtId="0" fontId="0" fillId="26" borderId="51" xfId="0" applyFill="1" applyBorder="1" applyAlignment="1">
      <alignment horizontal="center" vertical="center"/>
    </xf>
    <xf numFmtId="0" fontId="0" fillId="26" borderId="52" xfId="0" applyFill="1" applyBorder="1" applyAlignment="1">
      <alignment horizontal="center" vertical="center"/>
    </xf>
    <xf numFmtId="0" fontId="0" fillId="26" borderId="203" xfId="0" applyFill="1" applyBorder="1" applyAlignment="1">
      <alignment horizontal="center" vertical="center"/>
    </xf>
    <xf numFmtId="0" fontId="12" fillId="8" borderId="47" xfId="0" applyFont="1" applyFill="1" applyBorder="1" applyAlignment="1">
      <alignment horizontal="left" vertical="center"/>
    </xf>
    <xf numFmtId="0" fontId="12" fillId="8" borderId="48" xfId="0" applyFont="1" applyFill="1" applyBorder="1" applyAlignment="1">
      <alignment horizontal="left" vertical="center"/>
    </xf>
    <xf numFmtId="0" fontId="0" fillId="22" borderId="51" xfId="0" applyFill="1" applyBorder="1" applyAlignment="1">
      <alignment horizontal="center" vertical="center"/>
    </xf>
    <xf numFmtId="0" fontId="0" fillId="22" borderId="53" xfId="0" applyFill="1" applyBorder="1" applyAlignment="1">
      <alignment horizontal="center" vertical="center"/>
    </xf>
    <xf numFmtId="0" fontId="0" fillId="22" borderId="203" xfId="0" applyFill="1" applyBorder="1" applyAlignment="1">
      <alignment horizontal="center" vertical="center"/>
    </xf>
    <xf numFmtId="0" fontId="0" fillId="23" borderId="51" xfId="0" applyFill="1" applyBorder="1" applyAlignment="1">
      <alignment horizontal="center" vertical="center"/>
    </xf>
    <xf numFmtId="0" fontId="0" fillId="23" borderId="53" xfId="0" applyFill="1" applyBorder="1" applyAlignment="1">
      <alignment horizontal="center" vertical="center"/>
    </xf>
    <xf numFmtId="0" fontId="0" fillId="23" borderId="203" xfId="0" applyFill="1" applyBorder="1" applyAlignment="1">
      <alignment horizontal="center" vertical="center"/>
    </xf>
    <xf numFmtId="0" fontId="0" fillId="24" borderId="51" xfId="0" applyFill="1" applyBorder="1" applyAlignment="1">
      <alignment horizontal="center" vertical="center"/>
    </xf>
    <xf numFmtId="0" fontId="0" fillId="24" borderId="53" xfId="0" applyFill="1" applyBorder="1" applyAlignment="1">
      <alignment horizontal="center" vertical="center"/>
    </xf>
    <xf numFmtId="0" fontId="0" fillId="24" borderId="203" xfId="0" applyFill="1" applyBorder="1" applyAlignment="1">
      <alignment horizontal="center" vertical="center"/>
    </xf>
    <xf numFmtId="0" fontId="0" fillId="7" borderId="88" xfId="0" applyFill="1" applyBorder="1" applyAlignment="1">
      <alignment horizontal="center" vertical="center"/>
    </xf>
    <xf numFmtId="0" fontId="0" fillId="7" borderId="90" xfId="0" applyFill="1" applyBorder="1" applyAlignment="1">
      <alignment horizontal="center" vertical="center"/>
    </xf>
    <xf numFmtId="0" fontId="0" fillId="0" borderId="83" xfId="0" applyBorder="1" applyAlignment="1">
      <alignment horizontal="center" vertical="center"/>
    </xf>
    <xf numFmtId="0" fontId="0" fillId="24" borderId="52" xfId="0" applyFill="1" applyBorder="1" applyAlignment="1">
      <alignment horizontal="center" vertical="center"/>
    </xf>
    <xf numFmtId="0" fontId="0" fillId="23" borderId="52" xfId="0" applyFill="1" applyBorder="1" applyAlignment="1">
      <alignment horizontal="center" vertical="center"/>
    </xf>
    <xf numFmtId="0" fontId="0" fillId="9" borderId="51" xfId="0" applyFill="1" applyBorder="1" applyAlignment="1">
      <alignment horizontal="center" vertical="center"/>
    </xf>
    <xf numFmtId="0" fontId="0" fillId="9" borderId="203" xfId="0" applyFill="1" applyBorder="1" applyAlignment="1">
      <alignment horizontal="center" vertical="center"/>
    </xf>
    <xf numFmtId="0" fontId="0" fillId="9" borderId="52" xfId="0" applyFill="1" applyBorder="1" applyAlignment="1">
      <alignment horizontal="center" vertical="center"/>
    </xf>
    <xf numFmtId="0" fontId="0" fillId="7" borderId="51" xfId="0" applyFill="1" applyBorder="1" applyAlignment="1">
      <alignment horizontal="center" vertical="center"/>
    </xf>
    <xf numFmtId="0" fontId="0" fillId="7" borderId="52" xfId="0" applyFill="1" applyBorder="1" applyAlignment="1">
      <alignment horizontal="center" vertical="center"/>
    </xf>
    <xf numFmtId="0" fontId="8" fillId="2" borderId="0" xfId="0" applyFont="1" applyFill="1" applyAlignment="1">
      <alignment horizontal="center" vertical="center"/>
    </xf>
    <xf numFmtId="0" fontId="8" fillId="11" borderId="0" xfId="0" applyFont="1" applyFill="1" applyAlignment="1">
      <alignment horizontal="center" vertical="center"/>
    </xf>
    <xf numFmtId="0" fontId="0" fillId="9" borderId="62" xfId="0" applyFill="1" applyBorder="1" applyAlignment="1">
      <alignment horizontal="center" vertical="center"/>
    </xf>
    <xf numFmtId="0" fontId="0" fillId="9" borderId="84" xfId="0" applyFill="1" applyBorder="1" applyAlignment="1">
      <alignment horizontal="center" vertical="center"/>
    </xf>
    <xf numFmtId="0" fontId="0" fillId="9" borderId="64" xfId="0" applyFill="1" applyBorder="1" applyAlignment="1">
      <alignment horizontal="center" vertical="center"/>
    </xf>
    <xf numFmtId="0" fontId="43" fillId="3" borderId="57" xfId="0" applyFont="1" applyFill="1" applyBorder="1" applyAlignment="1">
      <alignment horizontal="center" vertical="center"/>
    </xf>
    <xf numFmtId="0" fontId="43" fillId="3" borderId="58" xfId="0" applyFont="1" applyFill="1" applyBorder="1" applyAlignment="1">
      <alignment horizontal="center" vertical="center"/>
    </xf>
    <xf numFmtId="0" fontId="43" fillId="3" borderId="59" xfId="0" applyFont="1" applyFill="1" applyBorder="1" applyAlignment="1">
      <alignment horizontal="center" vertical="center"/>
    </xf>
    <xf numFmtId="0" fontId="43" fillId="3" borderId="204" xfId="0" applyFont="1" applyFill="1" applyBorder="1" applyAlignment="1">
      <alignment horizontal="center" vertical="center"/>
    </xf>
    <xf numFmtId="0" fontId="12" fillId="8" borderId="38" xfId="0" applyFont="1" applyFill="1" applyBorder="1" applyAlignment="1">
      <alignment horizontal="left" vertical="center"/>
    </xf>
    <xf numFmtId="0" fontId="12" fillId="8" borderId="0" xfId="0" applyFont="1" applyFill="1" applyAlignment="1">
      <alignment horizontal="left" vertical="center"/>
    </xf>
    <xf numFmtId="0" fontId="12" fillId="8" borderId="54" xfId="0" applyFont="1" applyFill="1" applyBorder="1" applyAlignment="1">
      <alignment horizontal="left" vertical="center"/>
    </xf>
    <xf numFmtId="0" fontId="0" fillId="9" borderId="63" xfId="0" applyFill="1" applyBorder="1" applyAlignment="1">
      <alignment horizontal="center" vertical="center"/>
    </xf>
    <xf numFmtId="0" fontId="12" fillId="8" borderId="180" xfId="0" applyFont="1" applyFill="1" applyBorder="1" applyAlignment="1">
      <alignment horizontal="left" vertical="center"/>
    </xf>
    <xf numFmtId="0" fontId="12" fillId="8" borderId="181" xfId="0" applyFont="1" applyFill="1" applyBorder="1" applyAlignment="1">
      <alignment horizontal="left" vertical="center"/>
    </xf>
    <xf numFmtId="0" fontId="12" fillId="8" borderId="416" xfId="0" applyFont="1" applyFill="1" applyBorder="1" applyAlignment="1">
      <alignment horizontal="left" vertical="center"/>
    </xf>
    <xf numFmtId="0" fontId="12" fillId="3" borderId="33" xfId="0" applyFont="1" applyFill="1" applyBorder="1" applyAlignment="1">
      <alignment horizontal="center" wrapText="1"/>
    </xf>
    <xf numFmtId="0" fontId="12" fillId="3" borderId="34" xfId="0" applyFont="1" applyFill="1" applyBorder="1" applyAlignment="1">
      <alignment horizontal="center" wrapText="1"/>
    </xf>
    <xf numFmtId="0" fontId="12" fillId="3" borderId="32" xfId="0" applyFont="1" applyFill="1" applyBorder="1" applyAlignment="1">
      <alignment horizontal="center" wrapText="1"/>
    </xf>
    <xf numFmtId="0" fontId="2" fillId="10" borderId="0" xfId="0" applyFont="1" applyFill="1" applyAlignment="1">
      <alignment horizontal="center" vertical="center"/>
    </xf>
    <xf numFmtId="0" fontId="0" fillId="15" borderId="0" xfId="0" applyFill="1" applyAlignment="1">
      <alignment horizontal="center" vertical="center"/>
    </xf>
    <xf numFmtId="0" fontId="8" fillId="7" borderId="48" xfId="0" applyFont="1" applyFill="1" applyBorder="1" applyAlignment="1">
      <alignment horizontal="center" vertical="center"/>
    </xf>
    <xf numFmtId="0" fontId="8" fillId="2" borderId="62" xfId="0" applyFont="1" applyFill="1" applyBorder="1" applyAlignment="1">
      <alignment horizontal="center" vertical="center"/>
    </xf>
    <xf numFmtId="0" fontId="8" fillId="2" borderId="63" xfId="0" applyFont="1" applyFill="1" applyBorder="1" applyAlignment="1">
      <alignment horizontal="center" vertical="center"/>
    </xf>
    <xf numFmtId="0" fontId="12" fillId="8" borderId="49" xfId="0" applyFont="1" applyFill="1" applyBorder="1" applyAlignment="1">
      <alignment horizontal="left" vertical="center"/>
    </xf>
    <xf numFmtId="0" fontId="8" fillId="6" borderId="62" xfId="0" applyFont="1" applyFill="1" applyBorder="1" applyAlignment="1">
      <alignment horizontal="center" vertical="center"/>
    </xf>
    <xf numFmtId="0" fontId="8" fillId="6" borderId="63" xfId="0" applyFont="1" applyFill="1" applyBorder="1" applyAlignment="1">
      <alignment horizontal="center" vertical="center"/>
    </xf>
    <xf numFmtId="0" fontId="8" fillId="6" borderId="64" xfId="0" applyFont="1" applyFill="1" applyBorder="1" applyAlignment="1">
      <alignment horizontal="center" vertical="center"/>
    </xf>
    <xf numFmtId="0" fontId="8" fillId="2" borderId="64" xfId="0" applyFont="1" applyFill="1" applyBorder="1" applyAlignment="1">
      <alignment horizontal="center" vertical="center"/>
    </xf>
    <xf numFmtId="0" fontId="8" fillId="6" borderId="65" xfId="0" applyFont="1" applyFill="1" applyBorder="1" applyAlignment="1">
      <alignment horizontal="center" vertical="center"/>
    </xf>
    <xf numFmtId="0" fontId="12" fillId="3" borderId="31" xfId="0" quotePrefix="1" applyFont="1" applyFill="1" applyBorder="1" applyAlignment="1">
      <alignment horizontal="center" wrapText="1"/>
    </xf>
    <xf numFmtId="0" fontId="12" fillId="3" borderId="35" xfId="0" quotePrefix="1" applyFont="1" applyFill="1" applyBorder="1" applyAlignment="1">
      <alignment horizontal="center" wrapText="1"/>
    </xf>
    <xf numFmtId="0" fontId="12" fillId="3" borderId="32" xfId="0" quotePrefix="1" applyFont="1" applyFill="1" applyBorder="1" applyAlignment="1">
      <alignment horizontal="center" wrapText="1"/>
    </xf>
    <xf numFmtId="0" fontId="12" fillId="3" borderId="46" xfId="0" quotePrefix="1" applyFont="1" applyFill="1" applyBorder="1" applyAlignment="1">
      <alignment horizontal="center" wrapText="1"/>
    </xf>
    <xf numFmtId="0" fontId="3" fillId="5" borderId="384" xfId="0" applyFont="1" applyFill="1" applyBorder="1" applyAlignment="1">
      <alignment horizontal="center" vertical="center"/>
    </xf>
    <xf numFmtId="0" fontId="3" fillId="5" borderId="0" xfId="0" applyFont="1" applyFill="1" applyAlignment="1">
      <alignment horizontal="center" vertical="center"/>
    </xf>
    <xf numFmtId="0" fontId="8" fillId="6" borderId="0" xfId="0" applyFont="1" applyFill="1" applyAlignment="1">
      <alignment horizontal="center" vertical="center"/>
    </xf>
    <xf numFmtId="0" fontId="8" fillId="7" borderId="0" xfId="0" applyFont="1" applyFill="1" applyAlignment="1">
      <alignment horizontal="center" vertical="center"/>
    </xf>
    <xf numFmtId="0" fontId="0" fillId="3" borderId="51" xfId="0" applyFill="1" applyBorder="1" applyAlignment="1">
      <alignment horizontal="center" vertical="center"/>
    </xf>
    <xf numFmtId="0" fontId="0" fillId="3" borderId="52" xfId="0" applyFill="1" applyBorder="1" applyAlignment="1">
      <alignment horizontal="center" vertical="center"/>
    </xf>
    <xf numFmtId="0" fontId="0" fillId="3" borderId="203" xfId="0" applyFill="1" applyBorder="1" applyAlignment="1">
      <alignment horizontal="center" vertical="center"/>
    </xf>
    <xf numFmtId="0" fontId="8" fillId="10" borderId="62" xfId="0" applyFont="1" applyFill="1" applyBorder="1" applyAlignment="1">
      <alignment horizontal="center" vertical="center"/>
    </xf>
    <xf numFmtId="0" fontId="8" fillId="10" borderId="63" xfId="0" applyFont="1" applyFill="1" applyBorder="1" applyAlignment="1">
      <alignment horizontal="center" vertical="center"/>
    </xf>
    <xf numFmtId="0" fontId="8" fillId="10" borderId="84" xfId="0" applyFont="1" applyFill="1" applyBorder="1" applyAlignment="1">
      <alignment horizontal="center" vertical="center"/>
    </xf>
    <xf numFmtId="0" fontId="0" fillId="14" borderId="0" xfId="0" applyFill="1" applyAlignment="1">
      <alignment horizontal="center" vertical="center"/>
    </xf>
    <xf numFmtId="0" fontId="8" fillId="9" borderId="62" xfId="0" applyFont="1" applyFill="1" applyBorder="1" applyAlignment="1">
      <alignment horizontal="center" vertical="center"/>
    </xf>
    <xf numFmtId="0" fontId="8" fillId="9" borderId="63" xfId="0" applyFont="1" applyFill="1" applyBorder="1" applyAlignment="1">
      <alignment horizontal="center" vertical="center"/>
    </xf>
    <xf numFmtId="0" fontId="8" fillId="9" borderId="64" xfId="0" applyFont="1" applyFill="1" applyBorder="1" applyAlignment="1">
      <alignment horizontal="center" vertical="center"/>
    </xf>
    <xf numFmtId="0" fontId="51" fillId="17" borderId="181" xfId="0" applyFont="1" applyFill="1" applyBorder="1" applyAlignment="1">
      <alignment horizontal="center" vertical="center"/>
    </xf>
    <xf numFmtId="0" fontId="51" fillId="17" borderId="183" xfId="0" applyFont="1" applyFill="1" applyBorder="1" applyAlignment="1">
      <alignment horizontal="center" vertical="center"/>
    </xf>
    <xf numFmtId="0" fontId="12" fillId="8" borderId="183" xfId="0" applyFont="1" applyFill="1" applyBorder="1" applyAlignment="1">
      <alignment horizontal="left" vertical="center"/>
    </xf>
    <xf numFmtId="0" fontId="15" fillId="16" borderId="141" xfId="0" applyFont="1" applyFill="1" applyBorder="1" applyAlignment="1">
      <alignment horizontal="center" vertical="center"/>
    </xf>
    <xf numFmtId="0" fontId="15" fillId="16" borderId="292" xfId="0" applyFont="1" applyFill="1" applyBorder="1" applyAlignment="1">
      <alignment horizontal="center" vertical="center"/>
    </xf>
    <xf numFmtId="0" fontId="15" fillId="16" borderId="174" xfId="0" applyFont="1" applyFill="1" applyBorder="1" applyAlignment="1">
      <alignment horizontal="center" vertical="center"/>
    </xf>
    <xf numFmtId="0" fontId="15" fillId="16" borderId="150" xfId="0" applyFont="1" applyFill="1" applyBorder="1" applyAlignment="1">
      <alignment horizontal="center" vertical="center"/>
    </xf>
    <xf numFmtId="0" fontId="0" fillId="3" borderId="295" xfId="0" applyFill="1" applyBorder="1" applyAlignment="1">
      <alignment horizontal="center" vertical="center"/>
    </xf>
    <xf numFmtId="0" fontId="0" fillId="3" borderId="158" xfId="0" applyFill="1" applyBorder="1" applyAlignment="1">
      <alignment horizontal="center" vertical="center"/>
    </xf>
    <xf numFmtId="0" fontId="0" fillId="3" borderId="166" xfId="0" applyFill="1" applyBorder="1" applyAlignment="1">
      <alignment horizontal="center" vertical="center"/>
    </xf>
    <xf numFmtId="0" fontId="0" fillId="3" borderId="172" xfId="0" applyFill="1" applyBorder="1" applyAlignment="1">
      <alignment horizontal="center" vertical="center"/>
    </xf>
    <xf numFmtId="0" fontId="0" fillId="3" borderId="169" xfId="0" applyFill="1" applyBorder="1" applyAlignment="1">
      <alignment horizontal="center" vertical="center"/>
    </xf>
    <xf numFmtId="0" fontId="0" fillId="3" borderId="178" xfId="0" applyFill="1" applyBorder="1" applyAlignment="1">
      <alignment horizontal="center" vertical="center"/>
    </xf>
    <xf numFmtId="0" fontId="0" fillId="3" borderId="173" xfId="0" applyFill="1" applyBorder="1" applyAlignment="1">
      <alignment horizontal="center" vertical="center"/>
    </xf>
    <xf numFmtId="0" fontId="39" fillId="0" borderId="164" xfId="0" applyFont="1" applyBorder="1" applyAlignment="1">
      <alignment horizontal="center" vertical="top"/>
    </xf>
    <xf numFmtId="0" fontId="0" fillId="3" borderId="49" xfId="0" applyFill="1" applyBorder="1" applyAlignment="1">
      <alignment horizontal="left" vertical="center"/>
    </xf>
    <xf numFmtId="0" fontId="0" fillId="3" borderId="0" xfId="0" applyFill="1" applyAlignment="1">
      <alignment horizontal="left" vertical="center"/>
    </xf>
    <xf numFmtId="0" fontId="0" fillId="3" borderId="54" xfId="0" applyFill="1" applyBorder="1" applyAlignment="1">
      <alignment horizontal="left" vertical="center"/>
    </xf>
    <xf numFmtId="0" fontId="40" fillId="3" borderId="50" xfId="0" applyFont="1" applyFill="1" applyBorder="1" applyAlignment="1">
      <alignment horizontal="left" vertical="center"/>
    </xf>
    <xf numFmtId="0" fontId="40" fillId="3" borderId="88" xfId="0" applyFont="1" applyFill="1" applyBorder="1" applyAlignment="1">
      <alignment horizontal="left" vertical="center"/>
    </xf>
    <xf numFmtId="0" fontId="40" fillId="3" borderId="56" xfId="0" applyFont="1" applyFill="1" applyBorder="1" applyAlignment="1">
      <alignment horizontal="left" vertical="center"/>
    </xf>
    <xf numFmtId="0" fontId="0" fillId="3" borderId="142" xfId="0" applyFill="1" applyBorder="1" applyAlignment="1">
      <alignment horizontal="center" vertical="center"/>
    </xf>
    <xf numFmtId="0" fontId="40" fillId="3" borderId="166" xfId="0" applyFont="1" applyFill="1" applyBorder="1" applyAlignment="1">
      <alignment horizontal="center" vertical="center"/>
    </xf>
    <xf numFmtId="0" fontId="40" fillId="3" borderId="142" xfId="0" applyFont="1" applyFill="1" applyBorder="1" applyAlignment="1">
      <alignment horizontal="center" vertical="center"/>
    </xf>
    <xf numFmtId="0" fontId="40" fillId="3" borderId="172" xfId="0" applyFont="1" applyFill="1" applyBorder="1" applyAlignment="1">
      <alignment horizontal="center" vertical="center"/>
    </xf>
    <xf numFmtId="0" fontId="0" fillId="22" borderId="52" xfId="0" applyFill="1" applyBorder="1" applyAlignment="1">
      <alignment horizontal="center" vertical="center"/>
    </xf>
    <xf numFmtId="0" fontId="0" fillId="3" borderId="57" xfId="0" applyFill="1" applyBorder="1" applyAlignment="1">
      <alignment horizontal="center" vertical="center"/>
    </xf>
    <xf numFmtId="0" fontId="0" fillId="3" borderId="59" xfId="0" applyFill="1" applyBorder="1" applyAlignment="1">
      <alignment horizontal="center" vertical="center"/>
    </xf>
    <xf numFmtId="0" fontId="0" fillId="9" borderId="57" xfId="0" applyFill="1" applyBorder="1" applyAlignment="1">
      <alignment horizontal="center" vertical="center"/>
    </xf>
    <xf numFmtId="0" fontId="0" fillId="9" borderId="59" xfId="0" applyFill="1" applyBorder="1" applyAlignment="1">
      <alignment horizontal="center" vertical="center"/>
    </xf>
    <xf numFmtId="0" fontId="0" fillId="9" borderId="204" xfId="0" applyFill="1" applyBorder="1" applyAlignment="1">
      <alignment horizontal="center" vertical="center"/>
    </xf>
    <xf numFmtId="0" fontId="0" fillId="9" borderId="417" xfId="0" applyFill="1" applyBorder="1" applyAlignment="1">
      <alignment horizontal="center" vertical="center"/>
    </xf>
    <xf numFmtId="0" fontId="0" fillId="9" borderId="412" xfId="0" applyFill="1" applyBorder="1" applyAlignment="1">
      <alignment horizontal="center" vertical="center"/>
    </xf>
    <xf numFmtId="0" fontId="0" fillId="9" borderId="418" xfId="0" applyFill="1" applyBorder="1" applyAlignment="1">
      <alignment horizontal="center" vertical="center"/>
    </xf>
    <xf numFmtId="0" fontId="0" fillId="9" borderId="413" xfId="0" applyFill="1" applyBorder="1" applyAlignment="1">
      <alignment horizontal="center" vertical="center"/>
    </xf>
    <xf numFmtId="0" fontId="0" fillId="0" borderId="215" xfId="0" applyBorder="1" applyAlignment="1">
      <alignment horizontal="center" vertical="center"/>
    </xf>
    <xf numFmtId="0" fontId="0" fillId="0" borderId="212" xfId="0" applyBorder="1" applyAlignment="1">
      <alignment horizontal="center" vertical="center"/>
    </xf>
    <xf numFmtId="0" fontId="0" fillId="0" borderId="217" xfId="0" applyBorder="1" applyAlignment="1">
      <alignment horizontal="center" vertical="center"/>
    </xf>
    <xf numFmtId="0" fontId="0" fillId="7" borderId="57" xfId="0" applyFill="1" applyBorder="1" applyAlignment="1">
      <alignment horizontal="center" vertical="center"/>
    </xf>
    <xf numFmtId="0" fontId="0" fillId="7" borderId="58" xfId="0" applyFill="1" applyBorder="1" applyAlignment="1">
      <alignment horizontal="center" vertical="center"/>
    </xf>
    <xf numFmtId="0" fontId="0" fillId="7" borderId="204" xfId="0" applyFill="1" applyBorder="1" applyAlignment="1">
      <alignment horizontal="center" vertical="center"/>
    </xf>
    <xf numFmtId="0" fontId="0" fillId="3" borderId="0" xfId="0" applyFill="1" applyAlignment="1" applyProtection="1">
      <alignment horizontal="left" vertical="center" indent="1"/>
      <protection hidden="1"/>
    </xf>
    <xf numFmtId="0" fontId="0" fillId="3" borderId="50" xfId="0" applyFill="1" applyBorder="1" applyAlignment="1" applyProtection="1">
      <alignment horizontal="left" vertical="center" indent="1"/>
      <protection hidden="1"/>
    </xf>
    <xf numFmtId="0" fontId="0" fillId="3" borderId="88" xfId="0" applyFill="1" applyBorder="1" applyAlignment="1" applyProtection="1">
      <alignment horizontal="left" vertical="center" indent="1"/>
      <protection hidden="1"/>
    </xf>
    <xf numFmtId="0" fontId="0" fillId="3" borderId="56" xfId="0" applyFill="1" applyBorder="1" applyAlignment="1" applyProtection="1">
      <alignment horizontal="left" vertical="center" indent="1"/>
      <protection hidden="1"/>
    </xf>
    <xf numFmtId="0" fontId="0" fillId="26" borderId="53" xfId="0" applyFill="1" applyBorder="1" applyAlignment="1">
      <alignment horizontal="center" vertical="center"/>
    </xf>
    <xf numFmtId="0" fontId="0" fillId="0" borderId="185" xfId="0" quotePrefix="1" applyBorder="1" applyAlignment="1">
      <alignment horizontal="center" vertical="center"/>
    </xf>
    <xf numFmtId="0" fontId="0" fillId="0" borderId="186" xfId="0" applyBorder="1" applyAlignment="1">
      <alignment horizontal="center" vertical="center"/>
    </xf>
    <xf numFmtId="0" fontId="0" fillId="0" borderId="187" xfId="0" applyBorder="1" applyAlignment="1">
      <alignment horizontal="center" vertical="center"/>
    </xf>
    <xf numFmtId="0" fontId="30" fillId="19" borderId="188" xfId="0" applyFont="1" applyFill="1" applyBorder="1" applyAlignment="1">
      <alignment horizontal="center" vertical="center"/>
    </xf>
    <xf numFmtId="0" fontId="0" fillId="3" borderId="174" xfId="0" applyFill="1" applyBorder="1" applyAlignment="1">
      <alignment horizontal="center" vertical="center"/>
    </xf>
    <xf numFmtId="0" fontId="0" fillId="3" borderId="175" xfId="0" applyFill="1" applyBorder="1" applyAlignment="1">
      <alignment horizontal="center" vertical="center"/>
    </xf>
    <xf numFmtId="0" fontId="0" fillId="3" borderId="258" xfId="0" applyFill="1" applyBorder="1" applyAlignment="1" applyProtection="1">
      <alignment horizontal="left" vertical="center" indent="1"/>
      <protection hidden="1"/>
    </xf>
    <xf numFmtId="0" fontId="0" fillId="10" borderId="254" xfId="0" applyFill="1" applyBorder="1" applyAlignment="1" applyProtection="1">
      <alignment horizontal="left" vertical="center" indent="1"/>
      <protection hidden="1"/>
    </xf>
    <xf numFmtId="0" fontId="0" fillId="10" borderId="248" xfId="0" applyFill="1" applyBorder="1" applyAlignment="1" applyProtection="1">
      <alignment horizontal="left" vertical="center" indent="1"/>
      <protection hidden="1"/>
    </xf>
    <xf numFmtId="0" fontId="0" fillId="10" borderId="255" xfId="0" applyFill="1" applyBorder="1" applyAlignment="1" applyProtection="1">
      <alignment horizontal="left" vertical="center" indent="1"/>
      <protection hidden="1"/>
    </xf>
    <xf numFmtId="0" fontId="0" fillId="3" borderId="259" xfId="0" applyFill="1" applyBorder="1" applyAlignment="1" applyProtection="1">
      <alignment horizontal="left" vertical="center" indent="1"/>
      <protection hidden="1"/>
    </xf>
    <xf numFmtId="0" fontId="0" fillId="8" borderId="83" xfId="0" applyFill="1" applyBorder="1" applyAlignment="1">
      <alignment horizontal="center" vertical="center"/>
    </xf>
    <xf numFmtId="0" fontId="3" fillId="28" borderId="384" xfId="0" applyFont="1" applyFill="1" applyBorder="1" applyAlignment="1">
      <alignment horizontal="center" vertical="center"/>
    </xf>
    <xf numFmtId="0" fontId="3" fillId="28" borderId="0" xfId="0" applyFont="1" applyFill="1" applyAlignment="1">
      <alignment horizontal="center" vertical="center"/>
    </xf>
    <xf numFmtId="0" fontId="0" fillId="9" borderId="242" xfId="0" applyFill="1" applyBorder="1" applyAlignment="1">
      <alignment horizontal="center" vertical="center"/>
    </xf>
    <xf numFmtId="0" fontId="0" fillId="9" borderId="243" xfId="0" applyFill="1" applyBorder="1" applyAlignment="1">
      <alignment horizontal="center" vertical="center"/>
    </xf>
    <xf numFmtId="0" fontId="0" fillId="22" borderId="242" xfId="0" applyFill="1" applyBorder="1" applyAlignment="1">
      <alignment horizontal="center" vertical="center"/>
    </xf>
    <xf numFmtId="0" fontId="0" fillId="22" borderId="243" xfId="0" applyFill="1" applyBorder="1" applyAlignment="1">
      <alignment horizontal="center" vertical="center"/>
    </xf>
    <xf numFmtId="0" fontId="0" fillId="9" borderId="296" xfId="0" applyFill="1" applyBorder="1" applyAlignment="1">
      <alignment horizontal="center" vertical="center"/>
    </xf>
    <xf numFmtId="0" fontId="15" fillId="3" borderId="282" xfId="3" applyFont="1" applyFill="1" applyBorder="1" applyProtection="1">
      <alignment horizontal="left" vertical="center" indent="1"/>
      <protection hidden="1"/>
    </xf>
    <xf numFmtId="0" fontId="0" fillId="9" borderId="476" xfId="0" applyFill="1" applyBorder="1" applyAlignment="1">
      <alignment horizontal="center" vertical="center"/>
    </xf>
    <xf numFmtId="0" fontId="0" fillId="9" borderId="478" xfId="0" applyFill="1" applyBorder="1" applyAlignment="1">
      <alignment horizontal="center" vertical="center"/>
    </xf>
    <xf numFmtId="0" fontId="0" fillId="9" borderId="457" xfId="0" applyFill="1" applyBorder="1" applyAlignment="1">
      <alignment horizontal="center" vertical="center"/>
    </xf>
    <xf numFmtId="0" fontId="0" fillId="9" borderId="459" xfId="0" applyFill="1" applyBorder="1" applyAlignment="1">
      <alignment horizontal="center" vertical="center"/>
    </xf>
    <xf numFmtId="0" fontId="0" fillId="9" borderId="462" xfId="0" applyFill="1" applyBorder="1" applyAlignment="1">
      <alignment horizontal="center" vertical="center"/>
    </xf>
    <xf numFmtId="0" fontId="0" fillId="9" borderId="461" xfId="0" applyFill="1" applyBorder="1" applyAlignment="1">
      <alignment horizontal="center" vertical="center"/>
    </xf>
    <xf numFmtId="0" fontId="0" fillId="9" borderId="475" xfId="0" applyFill="1" applyBorder="1" applyAlignment="1">
      <alignment horizontal="center" vertical="center"/>
    </xf>
    <xf numFmtId="0" fontId="0" fillId="9" borderId="481" xfId="0" applyFill="1" applyBorder="1" applyAlignment="1">
      <alignment horizontal="center" vertical="center"/>
    </xf>
    <xf numFmtId="0" fontId="0" fillId="9" borderId="483" xfId="0" applyFill="1" applyBorder="1" applyAlignment="1">
      <alignment horizontal="center" vertical="center"/>
    </xf>
    <xf numFmtId="0" fontId="121" fillId="9" borderId="508" xfId="3" applyFont="1" applyFill="1" applyBorder="1" applyProtection="1">
      <alignment horizontal="left" vertical="center" indent="1"/>
      <protection hidden="1"/>
    </xf>
    <xf numFmtId="0" fontId="121" fillId="9" borderId="460" xfId="3" applyFont="1" applyFill="1" applyBorder="1" applyProtection="1">
      <alignment horizontal="left" vertical="center" indent="1"/>
      <protection hidden="1"/>
    </xf>
    <xf numFmtId="0" fontId="121" fillId="9" borderId="478" xfId="3" applyFont="1" applyFill="1" applyBorder="1" applyProtection="1">
      <alignment horizontal="left" vertical="center" indent="1"/>
      <protection hidden="1"/>
    </xf>
    <xf numFmtId="0" fontId="0" fillId="0" borderId="51" xfId="0" applyBorder="1" applyAlignment="1">
      <alignment horizontal="center" vertical="center"/>
    </xf>
    <xf numFmtId="0" fontId="0" fillId="0" borderId="52" xfId="0" applyBorder="1" applyAlignment="1">
      <alignment horizontal="center" vertical="center"/>
    </xf>
    <xf numFmtId="0" fontId="0" fillId="0" borderId="457" xfId="0" applyBorder="1" applyAlignment="1">
      <alignment horizontal="center" vertical="center"/>
    </xf>
    <xf numFmtId="0" fontId="0" fillId="0" borderId="475" xfId="0" applyBorder="1" applyAlignment="1">
      <alignment horizontal="center" vertical="center"/>
    </xf>
    <xf numFmtId="0" fontId="0" fillId="9" borderId="477" xfId="0" applyFill="1" applyBorder="1" applyAlignment="1">
      <alignment horizontal="center" vertical="center"/>
    </xf>
    <xf numFmtId="2" fontId="15" fillId="9" borderId="475" xfId="0" applyNumberFormat="1" applyFont="1" applyFill="1" applyBorder="1" applyAlignment="1" applyProtection="1">
      <alignment horizontal="center" vertical="center"/>
      <protection hidden="1"/>
    </xf>
    <xf numFmtId="0" fontId="0" fillId="9" borderId="466" xfId="0" applyFill="1" applyBorder="1" applyAlignment="1">
      <alignment horizontal="center" vertical="center"/>
    </xf>
    <xf numFmtId="0" fontId="122" fillId="9" borderId="506" xfId="3" applyFont="1" applyFill="1" applyBorder="1" applyProtection="1">
      <alignment horizontal="left" vertical="center" indent="1"/>
      <protection hidden="1"/>
    </xf>
    <xf numFmtId="0" fontId="122" fillId="9" borderId="480" xfId="3" applyFont="1" applyFill="1" applyBorder="1" applyProtection="1">
      <alignment horizontal="left" vertical="center" indent="1"/>
      <protection hidden="1"/>
    </xf>
    <xf numFmtId="0" fontId="121" fillId="9" borderId="476" xfId="3" applyFont="1" applyFill="1" applyBorder="1" applyProtection="1">
      <alignment horizontal="left" vertical="center" indent="1"/>
      <protection hidden="1"/>
    </xf>
    <xf numFmtId="0" fontId="122" fillId="9" borderId="507" xfId="3" applyFont="1" applyFill="1" applyBorder="1" applyProtection="1">
      <alignment horizontal="left" vertical="center" indent="1"/>
      <protection hidden="1"/>
    </xf>
    <xf numFmtId="0" fontId="122" fillId="9" borderId="479" xfId="3" applyFont="1" applyFill="1" applyBorder="1" applyProtection="1">
      <alignment horizontal="left" vertical="center" indent="1"/>
      <protection hidden="1"/>
    </xf>
    <xf numFmtId="0" fontId="121" fillId="9" borderId="507" xfId="3" applyFont="1" applyFill="1" applyBorder="1" applyProtection="1">
      <alignment horizontal="left" vertical="center" indent="1"/>
      <protection hidden="1"/>
    </xf>
    <xf numFmtId="0" fontId="121" fillId="9" borderId="479" xfId="3" applyFont="1" applyFill="1" applyBorder="1" applyProtection="1">
      <alignment horizontal="left" vertical="center" indent="1"/>
      <protection hidden="1"/>
    </xf>
    <xf numFmtId="0" fontId="0" fillId="3" borderId="470" xfId="0" applyFill="1" applyBorder="1" applyAlignment="1">
      <alignment horizontal="center" vertical="center"/>
    </xf>
    <xf numFmtId="0" fontId="0" fillId="3" borderId="83" xfId="0" applyFill="1" applyBorder="1" applyAlignment="1">
      <alignment horizontal="center" vertical="center"/>
    </xf>
    <xf numFmtId="0" fontId="13" fillId="3" borderId="249" xfId="3" applyFont="1" applyFill="1" applyBorder="1" applyProtection="1">
      <alignment horizontal="left" vertical="center" indent="1"/>
      <protection hidden="1"/>
    </xf>
    <xf numFmtId="0" fontId="13" fillId="3" borderId="265" xfId="3" applyFont="1" applyFill="1" applyBorder="1" applyProtection="1">
      <alignment horizontal="left" vertical="center" indent="1"/>
      <protection hidden="1"/>
    </xf>
    <xf numFmtId="0" fontId="13" fillId="3" borderId="261" xfId="3" applyFont="1" applyFill="1" applyBorder="1" applyProtection="1">
      <alignment horizontal="left" vertical="center" indent="1"/>
      <protection hidden="1"/>
    </xf>
    <xf numFmtId="0" fontId="13" fillId="3" borderId="264" xfId="3" applyFont="1" applyFill="1" applyBorder="1" applyProtection="1">
      <alignment horizontal="left" vertical="center" indent="1"/>
      <protection hidden="1"/>
    </xf>
    <xf numFmtId="0" fontId="13" fillId="3" borderId="267" xfId="3" applyFont="1" applyFill="1" applyBorder="1" applyProtection="1">
      <alignment horizontal="left" vertical="center" indent="1"/>
      <protection hidden="1"/>
    </xf>
    <xf numFmtId="0" fontId="13" fillId="3" borderId="196" xfId="3" applyFont="1" applyFill="1" applyBorder="1" applyProtection="1">
      <alignment horizontal="left" vertical="center" indent="1"/>
      <protection hidden="1"/>
    </xf>
    <xf numFmtId="0" fontId="13" fillId="3" borderId="255" xfId="3" applyFont="1" applyFill="1" applyBorder="1" applyProtection="1">
      <alignment horizontal="left" vertical="center" indent="1"/>
      <protection hidden="1"/>
    </xf>
    <xf numFmtId="0" fontId="13" fillId="3" borderId="275" xfId="3" applyFont="1" applyFill="1" applyBorder="1" applyProtection="1">
      <alignment horizontal="left" vertical="center" indent="1"/>
      <protection hidden="1"/>
    </xf>
    <xf numFmtId="0" fontId="0" fillId="3" borderId="471" xfId="0" applyFill="1" applyBorder="1" applyAlignment="1">
      <alignment horizontal="center" vertical="center"/>
    </xf>
    <xf numFmtId="0" fontId="0" fillId="3" borderId="89" xfId="0" applyFill="1" applyBorder="1" applyAlignment="1">
      <alignment horizontal="center" vertical="center"/>
    </xf>
    <xf numFmtId="0" fontId="121" fillId="9" borderId="477" xfId="3" applyFont="1" applyFill="1" applyBorder="1" applyProtection="1">
      <alignment horizontal="left" vertical="center" indent="1"/>
      <protection hidden="1"/>
    </xf>
    <xf numFmtId="0" fontId="0" fillId="3" borderId="411" xfId="0" applyFill="1" applyBorder="1" applyAlignment="1">
      <alignment horizontal="center" vertical="center"/>
    </xf>
    <xf numFmtId="0" fontId="0" fillId="3" borderId="87" xfId="0" applyFill="1" applyBorder="1" applyAlignment="1">
      <alignment horizontal="center" vertical="center"/>
    </xf>
    <xf numFmtId="0" fontId="0" fillId="3" borderId="296" xfId="0" applyFill="1" applyBorder="1" applyAlignment="1">
      <alignment horizontal="center" vertical="center"/>
    </xf>
    <xf numFmtId="0" fontId="0" fillId="9" borderId="482" xfId="0" applyFill="1" applyBorder="1" applyAlignment="1">
      <alignment horizontal="center" vertical="center"/>
    </xf>
  </cellXfs>
  <cellStyles count="5">
    <cellStyle name="L+1" xfId="3" xr:uid="{AC2C613B-6887-4729-9B60-C3877A9E0778}"/>
    <cellStyle name="Link" xfId="2" builtinId="8"/>
    <cellStyle name="Prozent" xfId="1" builtinId="5"/>
    <cellStyle name="R+1" xfId="4" xr:uid="{081E43BC-CCDC-4377-8A73-3D88031CF6E9}"/>
    <cellStyle name="Standard" xfId="0" builtinId="0"/>
  </cellStyles>
  <dxfs count="147">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ont>
        <color theme="2"/>
      </font>
    </dxf>
    <dxf>
      <font>
        <color theme="2"/>
      </font>
    </dxf>
    <dxf>
      <fill>
        <patternFill>
          <bgColor theme="7" tint="-0.24994659260841701"/>
        </patternFill>
      </fill>
    </dxf>
    <dxf>
      <fill>
        <patternFill>
          <bgColor theme="0"/>
        </patternFill>
      </fill>
    </dxf>
    <dxf>
      <font>
        <color theme="2" tint="0.39994506668294322"/>
      </font>
    </dxf>
    <dxf>
      <font>
        <color theme="2" tint="0.59996337778862885"/>
      </font>
    </dxf>
    <dxf>
      <font>
        <color theme="0"/>
      </font>
    </dxf>
    <dxf>
      <font>
        <color theme="2" tint="0.79998168889431442"/>
      </font>
    </dxf>
    <dxf>
      <font>
        <color theme="0"/>
      </font>
      <fill>
        <patternFill>
          <bgColor theme="0"/>
        </patternFill>
      </fill>
      <border>
        <left/>
        <right/>
        <top/>
        <bottom/>
        <vertical/>
        <horizontal/>
      </border>
    </dxf>
    <dxf>
      <font>
        <color theme="0"/>
      </font>
      <fill>
        <patternFill>
          <bgColor theme="9"/>
        </patternFill>
      </fill>
      <border>
        <left/>
        <right/>
        <top/>
        <bottom/>
      </border>
    </dxf>
    <dxf>
      <font>
        <color theme="0"/>
      </font>
      <fill>
        <patternFill>
          <bgColor theme="9"/>
        </patternFill>
      </fill>
    </dxf>
    <dxf>
      <font>
        <color theme="5" tint="-0.24994659260841701"/>
      </font>
    </dxf>
    <dxf>
      <fill>
        <patternFill>
          <bgColor theme="0"/>
        </patternFill>
      </fill>
    </dxf>
    <dxf>
      <fill>
        <patternFill>
          <bgColor theme="3" tint="0.79998168889431442"/>
        </patternFill>
      </fill>
    </dxf>
    <dxf>
      <fill>
        <patternFill>
          <bgColor theme="9" tint="0.59996337778862885"/>
        </patternFill>
      </fill>
    </dxf>
    <dxf>
      <fill>
        <patternFill>
          <bgColor theme="0"/>
        </patternFill>
      </fill>
    </dxf>
    <dxf>
      <fill>
        <patternFill>
          <bgColor theme="9"/>
        </patternFill>
      </fill>
      <border>
        <left style="thin">
          <color auto="1"/>
        </left>
        <right style="thin">
          <color auto="1"/>
        </right>
        <top style="thin">
          <color auto="1"/>
        </top>
        <bottom style="thin">
          <color auto="1"/>
        </bottom>
      </border>
    </dxf>
    <dxf>
      <fill>
        <patternFill>
          <bgColor theme="7" tint="0.39994506668294322"/>
        </patternFill>
      </fill>
    </dxf>
    <dxf>
      <font>
        <color theme="0"/>
      </font>
      <fill>
        <patternFill>
          <bgColor theme="9"/>
        </patternFill>
      </fill>
    </dxf>
    <dxf>
      <fill>
        <patternFill>
          <bgColor theme="0"/>
        </patternFill>
      </fill>
    </dxf>
    <dxf>
      <fill>
        <patternFill>
          <bgColor theme="7"/>
        </patternFill>
      </fill>
    </dxf>
    <dxf>
      <font>
        <b val="0"/>
        <i/>
        <color theme="7" tint="-0.24994659260841701"/>
      </font>
    </dxf>
    <dxf>
      <font>
        <b/>
        <i val="0"/>
        <color theme="0"/>
      </font>
      <fill>
        <patternFill>
          <bgColor theme="9"/>
        </patternFill>
      </fill>
    </dxf>
    <dxf>
      <font>
        <b/>
        <i val="0"/>
        <color theme="0"/>
      </font>
      <fill>
        <patternFill>
          <bgColor theme="9"/>
        </patternFill>
      </fill>
    </dxf>
    <dxf>
      <font>
        <b/>
        <i val="0"/>
        <color theme="9"/>
      </font>
    </dxf>
    <dxf>
      <font>
        <color theme="0"/>
      </font>
      <fill>
        <patternFill>
          <bgColor theme="9"/>
        </patternFill>
      </fill>
    </dxf>
    <dxf>
      <fill>
        <patternFill>
          <bgColor theme="0"/>
        </patternFill>
      </fill>
    </dxf>
    <dxf>
      <font>
        <color auto="1"/>
      </font>
    </dxf>
    <dxf>
      <font>
        <color theme="9"/>
      </font>
    </dxf>
    <dxf>
      <font>
        <color theme="7" tint="-0.24994659260841701"/>
      </font>
    </dxf>
    <dxf>
      <font>
        <color theme="9"/>
      </font>
    </dxf>
    <dxf>
      <font>
        <b/>
        <i val="0"/>
        <color theme="0"/>
      </font>
      <fill>
        <patternFill>
          <bgColor theme="9"/>
        </patternFill>
      </fill>
    </dxf>
    <dxf>
      <font>
        <b/>
        <i val="0"/>
        <color theme="0"/>
      </font>
      <fill>
        <patternFill>
          <bgColor theme="9"/>
        </patternFill>
      </fill>
    </dxf>
    <dxf>
      <font>
        <color theme="2" tint="0.79998168889431442"/>
      </font>
      <fill>
        <patternFill>
          <bgColor theme="2" tint="0.79998168889431442"/>
        </patternFill>
      </fill>
    </dxf>
    <dxf>
      <font>
        <b/>
        <i val="0"/>
        <color theme="9"/>
      </font>
    </dxf>
    <dxf>
      <font>
        <b/>
        <i val="0"/>
        <color theme="9"/>
      </font>
    </dxf>
    <dxf>
      <font>
        <b/>
        <i val="0"/>
        <color theme="0"/>
      </font>
      <fill>
        <patternFill>
          <bgColor theme="9"/>
        </patternFill>
      </fill>
    </dxf>
    <dxf>
      <font>
        <b/>
        <i val="0"/>
        <color theme="0"/>
      </font>
      <fill>
        <patternFill>
          <bgColor theme="9"/>
        </patternFill>
      </fill>
    </dxf>
    <dxf>
      <font>
        <color theme="2" tint="0.79998168889431442"/>
      </font>
      <fill>
        <patternFill>
          <bgColor theme="2" tint="0.79998168889431442"/>
        </patternFill>
      </fill>
    </dxf>
    <dxf>
      <font>
        <color theme="0"/>
      </font>
    </dxf>
    <dxf>
      <font>
        <b/>
        <i val="0"/>
        <color theme="0"/>
      </font>
      <fill>
        <patternFill>
          <bgColor theme="9"/>
        </patternFill>
      </fill>
    </dxf>
    <dxf>
      <font>
        <color theme="0"/>
      </font>
    </dxf>
    <dxf>
      <font>
        <color theme="2" tint="0.79998168889431442"/>
      </font>
      <fill>
        <patternFill>
          <bgColor theme="2" tint="0.79998168889431442"/>
        </patternFill>
      </fill>
    </dxf>
    <dxf>
      <font>
        <color theme="9"/>
      </font>
    </dxf>
    <dxf>
      <font>
        <color theme="7" tint="-0.24994659260841701"/>
      </font>
    </dxf>
    <dxf>
      <font>
        <color theme="2"/>
      </font>
    </dxf>
    <dxf>
      <font>
        <color theme="5" tint="-0.24994659260841701"/>
      </font>
    </dxf>
    <dxf>
      <font>
        <color theme="0"/>
      </font>
      <fill>
        <patternFill>
          <bgColor theme="9"/>
        </patternFill>
      </fill>
    </dxf>
    <dxf>
      <fill>
        <patternFill>
          <bgColor theme="0"/>
        </patternFill>
      </fill>
    </dxf>
    <dxf>
      <font>
        <b/>
        <i val="0"/>
        <color theme="0"/>
      </font>
      <fill>
        <patternFill>
          <bgColor theme="9"/>
        </patternFill>
      </fill>
    </dxf>
    <dxf>
      <font>
        <color theme="0"/>
      </font>
    </dxf>
    <dxf>
      <font>
        <color theme="2"/>
      </font>
    </dxf>
    <dxf>
      <font>
        <color theme="2" tint="0.59996337778862885"/>
      </font>
      <border>
        <vertical/>
        <horizontal/>
      </border>
    </dxf>
    <dxf>
      <font>
        <b/>
        <i val="0"/>
        <color theme="0"/>
      </font>
      <fill>
        <patternFill>
          <bgColor theme="9"/>
        </patternFill>
      </fill>
      <border>
        <left style="thin">
          <color auto="1"/>
        </left>
        <right style="thin">
          <color auto="1"/>
        </right>
        <top style="thin">
          <color auto="1"/>
        </top>
        <bottom style="thin">
          <color auto="1"/>
        </bottom>
      </border>
    </dxf>
    <dxf>
      <font>
        <color theme="6" tint="0.39994506668294322"/>
      </font>
      <border>
        <vertical/>
        <horizontal/>
      </border>
    </dxf>
    <dxf>
      <font>
        <color theme="2" tint="0.79998168889431442"/>
      </font>
      <border>
        <vertical/>
        <horizontal/>
      </border>
    </dxf>
    <dxf>
      <font>
        <color theme="9"/>
      </font>
    </dxf>
    <dxf>
      <fill>
        <patternFill>
          <bgColor theme="2" tint="0.79998168889431442"/>
        </patternFill>
      </fill>
      <border>
        <vertical/>
        <horizontal/>
      </border>
    </dxf>
    <dxf>
      <border>
        <left/>
        <right/>
        <top/>
        <bottom/>
        <vertical/>
        <horizontal/>
      </border>
    </dxf>
    <dxf>
      <font>
        <color theme="2"/>
      </font>
      <border>
        <left style="thin">
          <color theme="2" tint="0.59996337778862885"/>
        </left>
        <right style="thin">
          <color theme="2" tint="0.59996337778862885"/>
        </right>
        <top style="thin">
          <color theme="2" tint="0.59996337778862885"/>
        </top>
        <bottom style="thin">
          <color theme="2" tint="0.59996337778862885"/>
        </bottom>
        <vertical/>
        <horizontal/>
      </border>
    </dxf>
    <dxf>
      <font>
        <color theme="6" tint="0.39994506668294322"/>
      </font>
      <border>
        <vertical/>
        <horizontal/>
      </border>
    </dxf>
    <dxf>
      <font>
        <color theme="2" tint="0.79998168889431442"/>
      </font>
    </dxf>
    <dxf>
      <font>
        <color theme="2" tint="0.79998168889431442"/>
      </font>
      <fill>
        <patternFill>
          <bgColor theme="0"/>
        </patternFill>
      </fill>
      <border>
        <left/>
        <right/>
        <top/>
        <bottom/>
        <vertical/>
        <horizontal/>
      </border>
    </dxf>
    <dxf>
      <font>
        <color theme="2" tint="0.59996337778862885"/>
      </font>
      <border>
        <vertical/>
        <horizontal/>
      </border>
    </dxf>
    <dxf>
      <font>
        <color theme="9"/>
      </font>
    </dxf>
    <dxf>
      <font>
        <color theme="2" tint="0.79998168889431442"/>
      </font>
      <border>
        <vertical/>
        <horizontal/>
      </border>
    </dxf>
    <dxf>
      <font>
        <color theme="9"/>
      </font>
    </dxf>
    <dxf>
      <font>
        <color rgb="FFFF0000"/>
      </font>
    </dxf>
    <dxf>
      <font>
        <b/>
        <i val="0"/>
        <color theme="0"/>
      </font>
      <fill>
        <patternFill>
          <bgColor theme="9"/>
        </patternFill>
      </fill>
    </dxf>
    <dxf>
      <fill>
        <patternFill>
          <bgColor theme="7"/>
        </patternFill>
      </fill>
    </dxf>
    <dxf>
      <fill>
        <patternFill>
          <bgColor theme="6"/>
        </patternFill>
      </fill>
    </dxf>
    <dxf>
      <font>
        <color theme="0"/>
      </font>
      <fill>
        <patternFill>
          <bgColor theme="9"/>
        </patternFill>
      </fill>
    </dxf>
    <dxf>
      <font>
        <b/>
        <i val="0"/>
        <color theme="0"/>
      </font>
      <fill>
        <patternFill>
          <bgColor theme="9"/>
        </patternFill>
      </fill>
      <border>
        <left style="thin">
          <color auto="1"/>
        </left>
        <right style="thin">
          <color auto="1"/>
        </right>
        <top style="thin">
          <color auto="1"/>
        </top>
        <bottom style="thin">
          <color auto="1"/>
        </bottom>
      </border>
    </dxf>
    <dxf>
      <font>
        <color theme="9"/>
      </font>
    </dxf>
    <dxf>
      <fill>
        <patternFill>
          <bgColor theme="2" tint="0.79998168889431442"/>
        </patternFill>
      </fill>
      <border>
        <vertical/>
        <horizontal/>
      </border>
    </dxf>
    <dxf>
      <border>
        <left/>
        <right/>
        <top/>
        <bottom/>
        <vertical/>
        <horizontal/>
      </border>
    </dxf>
    <dxf>
      <font>
        <color theme="2"/>
      </font>
      <border>
        <left style="thin">
          <color theme="2" tint="0.59996337778862885"/>
        </left>
        <right style="thin">
          <color theme="2" tint="0.59996337778862885"/>
        </right>
        <top style="thin">
          <color theme="2" tint="0.59996337778862885"/>
        </top>
        <bottom style="thin">
          <color theme="2" tint="0.59996337778862885"/>
        </bottom>
        <vertical/>
        <horizontal/>
      </border>
    </dxf>
    <dxf>
      <font>
        <color theme="2" tint="0.79998168889431442"/>
      </font>
      <fill>
        <patternFill>
          <bgColor theme="2" tint="0.79998168889431442"/>
        </patternFill>
      </fill>
      <border>
        <left/>
        <right/>
        <top/>
        <bottom/>
        <vertical/>
        <horizontal/>
      </border>
    </dxf>
    <dxf>
      <font>
        <color theme="0"/>
      </font>
      <fill>
        <patternFill>
          <bgColor theme="0"/>
        </patternFill>
      </fill>
      <border>
        <left/>
        <right/>
        <top/>
        <bottom/>
        <vertical/>
        <horizontal/>
      </border>
    </dxf>
    <dxf>
      <font>
        <color theme="2" tint="0.79998168889431442"/>
      </font>
      <fill>
        <patternFill>
          <bgColor theme="0"/>
        </patternFill>
      </fill>
      <border>
        <left/>
        <right/>
        <top/>
        <bottom/>
        <vertical/>
        <horizontal/>
      </border>
    </dxf>
    <dxf>
      <font>
        <color theme="2"/>
      </font>
    </dxf>
    <dxf>
      <font>
        <color theme="2"/>
      </font>
    </dxf>
    <dxf>
      <font>
        <color theme="2"/>
      </font>
    </dxf>
    <dxf>
      <font>
        <strike val="0"/>
        <u val="none"/>
        <color theme="9"/>
      </font>
    </dxf>
    <dxf>
      <font>
        <color theme="7" tint="-0.24994659260841701"/>
      </font>
      <fill>
        <patternFill>
          <bgColor theme="2" tint="0.79998168889431442"/>
        </patternFill>
      </fill>
    </dxf>
    <dxf>
      <font>
        <color theme="0"/>
      </font>
      <fill>
        <patternFill>
          <bgColor theme="9"/>
        </patternFill>
      </fill>
    </dxf>
    <dxf>
      <fill>
        <patternFill>
          <bgColor theme="0"/>
        </patternFill>
      </fill>
    </dxf>
    <dxf>
      <font>
        <color theme="9"/>
      </font>
    </dxf>
    <dxf>
      <font>
        <color theme="9"/>
      </font>
    </dxf>
    <dxf>
      <font>
        <color theme="9"/>
      </font>
    </dxf>
    <dxf>
      <font>
        <color theme="0"/>
      </font>
    </dxf>
    <dxf>
      <font>
        <color theme="9"/>
      </font>
    </dxf>
    <dxf>
      <font>
        <color theme="9"/>
      </font>
    </dxf>
    <dxf>
      <font>
        <color theme="9"/>
      </font>
    </dxf>
    <dxf>
      <font>
        <color theme="9"/>
      </font>
    </dxf>
    <dxf>
      <font>
        <color theme="9"/>
      </font>
    </dxf>
    <dxf>
      <font>
        <color theme="9"/>
      </font>
    </dxf>
    <dxf>
      <font>
        <color theme="9"/>
      </font>
    </dxf>
    <dxf>
      <font>
        <b/>
        <i val="0"/>
        <color theme="9"/>
      </font>
    </dxf>
    <dxf>
      <font>
        <color theme="2" tint="0.79998168889431442"/>
      </font>
      <fill>
        <patternFill>
          <bgColor theme="2" tint="0.79998168889431442"/>
        </patternFill>
      </fill>
      <border>
        <left/>
        <right/>
        <top/>
        <bottom/>
      </border>
    </dxf>
    <dxf>
      <font>
        <color theme="2" tint="0.79998168889431442"/>
      </font>
      <fill>
        <patternFill>
          <bgColor theme="2" tint="0.79998168889431442"/>
        </patternFill>
      </fill>
      <border>
        <left/>
        <right/>
        <top/>
        <bottom/>
        <vertical/>
        <horizontal/>
      </border>
    </dxf>
    <dxf>
      <font>
        <b/>
        <i val="0"/>
        <color theme="0"/>
      </font>
      <fill>
        <patternFill>
          <bgColor theme="9"/>
        </patternFill>
      </fill>
      <border>
        <left/>
        <right/>
        <top/>
        <bottom/>
      </border>
    </dxf>
    <dxf>
      <font>
        <color theme="2" tint="0.79998168889431442"/>
      </font>
      <fill>
        <patternFill>
          <bgColor theme="2" tint="0.79998168889431442"/>
        </patternFill>
      </fill>
      <border>
        <left/>
        <right/>
        <top/>
        <bottom/>
        <vertical/>
        <horizontal/>
      </border>
    </dxf>
    <dxf>
      <font>
        <b/>
        <i val="0"/>
        <color theme="0"/>
      </font>
      <fill>
        <patternFill>
          <bgColor theme="9"/>
        </patternFill>
      </fill>
      <border>
        <left/>
        <right/>
        <top/>
        <bottom/>
      </border>
    </dxf>
    <dxf>
      <font>
        <color theme="2" tint="0.79998168889431442"/>
      </font>
      <fill>
        <patternFill>
          <bgColor theme="2" tint="0.79998168889431442"/>
        </patternFill>
      </fill>
      <border>
        <left/>
        <right/>
        <top/>
        <bottom/>
        <vertical/>
        <horizontal/>
      </border>
    </dxf>
    <dxf>
      <font>
        <color theme="2" tint="0.79998168889431442"/>
      </font>
      <fill>
        <patternFill>
          <bgColor theme="2" tint="0.79998168889431442"/>
        </patternFill>
      </fill>
      <border>
        <left/>
        <right/>
        <top/>
        <bottom/>
        <vertical/>
        <horizontal/>
      </border>
    </dxf>
    <dxf>
      <font>
        <color auto="1"/>
      </font>
    </dxf>
    <dxf>
      <font>
        <color theme="9"/>
      </font>
    </dxf>
    <dxf>
      <font>
        <color theme="2"/>
      </font>
    </dxf>
    <dxf>
      <font>
        <color theme="1"/>
      </font>
      <border>
        <vertical/>
        <horizontal/>
      </border>
    </dxf>
    <dxf>
      <font>
        <color theme="2" tint="-0.24994659260841701"/>
      </font>
      <border>
        <vertical/>
        <horizontal/>
      </border>
    </dxf>
    <dxf>
      <font>
        <color theme="1"/>
      </font>
      <border>
        <vertical/>
        <horizontal/>
      </border>
    </dxf>
    <dxf>
      <font>
        <color theme="1"/>
      </font>
      <border>
        <vertical/>
        <horizontal/>
      </border>
    </dxf>
    <dxf>
      <font>
        <color theme="1"/>
      </font>
      <border>
        <vertical/>
        <horizontal/>
      </border>
    </dxf>
    <dxf>
      <font>
        <color theme="0"/>
      </font>
      <fill>
        <patternFill>
          <bgColor theme="9"/>
        </patternFill>
      </fill>
    </dxf>
    <dxf>
      <fill>
        <patternFill>
          <bgColor theme="0"/>
        </patternFill>
      </fill>
    </dxf>
    <dxf>
      <font>
        <b/>
        <i val="0"/>
        <color theme="0"/>
      </font>
      <fill>
        <patternFill>
          <bgColor theme="9"/>
        </patternFill>
      </fill>
    </dxf>
    <dxf>
      <font>
        <color theme="0"/>
      </font>
      <fill>
        <patternFill>
          <bgColor theme="0"/>
        </patternFill>
      </fill>
    </dxf>
    <dxf>
      <font>
        <color theme="2"/>
      </font>
    </dxf>
    <dxf>
      <font>
        <b/>
        <i val="0"/>
        <color theme="0"/>
      </font>
      <fill>
        <patternFill>
          <bgColor theme="9"/>
        </patternFill>
      </fill>
    </dxf>
    <dxf>
      <font>
        <color theme="0"/>
      </font>
    </dxf>
    <dxf>
      <font>
        <color theme="0"/>
      </font>
      <fill>
        <patternFill>
          <bgColor theme="0"/>
        </patternFill>
      </fill>
    </dxf>
    <dxf>
      <font>
        <b/>
        <i val="0"/>
        <color theme="9"/>
      </font>
    </dxf>
    <dxf>
      <font>
        <color theme="0"/>
      </font>
    </dxf>
    <dxf>
      <font>
        <b/>
        <i val="0"/>
        <color theme="0"/>
      </font>
      <fill>
        <patternFill>
          <bgColor theme="9"/>
        </patternFill>
      </fill>
    </dxf>
    <dxf>
      <font>
        <color theme="0"/>
      </font>
    </dxf>
    <dxf>
      <font>
        <b/>
        <i val="0"/>
        <color theme="0"/>
      </font>
      <fill>
        <patternFill>
          <bgColor theme="9"/>
        </patternFill>
      </fill>
    </dxf>
    <dxf>
      <font>
        <b/>
        <i val="0"/>
        <color theme="0"/>
      </font>
      <fill>
        <patternFill>
          <bgColor theme="9"/>
        </patternFill>
      </fill>
    </dxf>
    <dxf>
      <font>
        <color theme="0"/>
      </font>
    </dxf>
    <dxf>
      <font>
        <color theme="2"/>
      </font>
    </dxf>
    <dxf>
      <border>
        <left/>
        <right/>
        <top/>
        <bottom/>
      </border>
    </dxf>
    <dxf>
      <border>
        <left/>
        <right/>
        <top/>
        <bottom/>
      </border>
    </dxf>
    <dxf>
      <font>
        <color theme="2" tint="0.79998168889431442"/>
      </font>
      <fill>
        <patternFill>
          <bgColor theme="2" tint="0.79998168889431442"/>
        </patternFill>
      </fill>
    </dxf>
    <dxf>
      <font>
        <b/>
        <i val="0"/>
        <color theme="0"/>
      </font>
      <fill>
        <patternFill>
          <bgColor theme="9"/>
        </patternFill>
      </fill>
    </dxf>
    <dxf>
      <font>
        <color theme="0"/>
      </font>
      <fill>
        <patternFill>
          <bgColor theme="0"/>
        </patternFill>
      </fill>
    </dxf>
    <dxf>
      <font>
        <color theme="2" tint="0.79998168889431442"/>
      </font>
      <fill>
        <patternFill>
          <bgColor theme="2" tint="0.79998168889431442"/>
        </patternFill>
      </fill>
    </dxf>
    <dxf>
      <font>
        <color theme="0"/>
      </font>
      <fill>
        <patternFill>
          <bgColor theme="9"/>
        </patternFill>
      </fill>
    </dxf>
    <dxf>
      <fill>
        <patternFill>
          <bgColor theme="0"/>
        </patternFill>
      </fill>
    </dxf>
    <dxf>
      <font>
        <color theme="0"/>
      </font>
      <fill>
        <patternFill>
          <bgColor theme="9"/>
        </patternFill>
      </fill>
    </dxf>
    <dxf>
      <fill>
        <patternFill>
          <bgColor theme="0"/>
        </patternFill>
      </fill>
    </dxf>
    <dxf>
      <font>
        <color theme="0"/>
      </font>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intern!I291" lockText="1" noThreeD="1"/>
</file>

<file path=xl/ctrlProps/ctrlProp101.xml><?xml version="1.0" encoding="utf-8"?>
<formControlPr xmlns="http://schemas.microsoft.com/office/spreadsheetml/2009/9/main" objectType="CheckBox" fmlaLink="intern!I295" lockText="1" noThreeD="1"/>
</file>

<file path=xl/ctrlProps/ctrlProp102.xml><?xml version="1.0" encoding="utf-8"?>
<formControlPr xmlns="http://schemas.microsoft.com/office/spreadsheetml/2009/9/main" objectType="CheckBox" fmlaLink="intern!I296" lockText="1" noThreeD="1"/>
</file>

<file path=xl/ctrlProps/ctrlProp103.xml><?xml version="1.0" encoding="utf-8"?>
<formControlPr xmlns="http://schemas.microsoft.com/office/spreadsheetml/2009/9/main" objectType="CheckBox" fmlaLink="intern!I299" lockText="1" noThreeD="1"/>
</file>

<file path=xl/ctrlProps/ctrlProp104.xml><?xml version="1.0" encoding="utf-8"?>
<formControlPr xmlns="http://schemas.microsoft.com/office/spreadsheetml/2009/9/main" objectType="CheckBox" fmlaLink="intern!I300" lockText="1" noThreeD="1"/>
</file>

<file path=xl/ctrlProps/ctrlProp105.xml><?xml version="1.0" encoding="utf-8"?>
<formControlPr xmlns="http://schemas.microsoft.com/office/spreadsheetml/2009/9/main" objectType="CheckBox" fmlaLink="intern!I305" lockText="1" noThreeD="1"/>
</file>

<file path=xl/ctrlProps/ctrlProp106.xml><?xml version="1.0" encoding="utf-8"?>
<formControlPr xmlns="http://schemas.microsoft.com/office/spreadsheetml/2009/9/main" objectType="CheckBox" fmlaLink="intern!I307" lockText="1" noThreeD="1"/>
</file>

<file path=xl/ctrlProps/ctrlProp107.xml><?xml version="1.0" encoding="utf-8"?>
<formControlPr xmlns="http://schemas.microsoft.com/office/spreadsheetml/2009/9/main" objectType="CheckBox" fmlaLink="intern!I308" lockText="1" noThreeD="1"/>
</file>

<file path=xl/ctrlProps/ctrlProp108.xml><?xml version="1.0" encoding="utf-8"?>
<formControlPr xmlns="http://schemas.microsoft.com/office/spreadsheetml/2009/9/main" objectType="CheckBox" fmlaLink="intern!I311" lockText="1" noThreeD="1"/>
</file>

<file path=xl/ctrlProps/ctrlProp109.xml><?xml version="1.0" encoding="utf-8"?>
<formControlPr xmlns="http://schemas.microsoft.com/office/spreadsheetml/2009/9/main" objectType="CheckBox" fmlaLink="intern!I313"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intern!I315" lockText="1" noThreeD="1"/>
</file>

<file path=xl/ctrlProps/ctrlProp111.xml><?xml version="1.0" encoding="utf-8"?>
<formControlPr xmlns="http://schemas.microsoft.com/office/spreadsheetml/2009/9/main" objectType="CheckBox" fmlaLink="intern!I316" lockText="1" noThreeD="1"/>
</file>

<file path=xl/ctrlProps/ctrlProp112.xml><?xml version="1.0" encoding="utf-8"?>
<formControlPr xmlns="http://schemas.microsoft.com/office/spreadsheetml/2009/9/main" objectType="CheckBox" fmlaLink="intern!I317" lockText="1" noThreeD="1"/>
</file>

<file path=xl/ctrlProps/ctrlProp113.xml><?xml version="1.0" encoding="utf-8"?>
<formControlPr xmlns="http://schemas.microsoft.com/office/spreadsheetml/2009/9/main" objectType="CheckBox" fmlaLink="intern!I318" lockText="1" noThreeD="1"/>
</file>

<file path=xl/ctrlProps/ctrlProp114.xml><?xml version="1.0" encoding="utf-8"?>
<formControlPr xmlns="http://schemas.microsoft.com/office/spreadsheetml/2009/9/main" objectType="CheckBox" fmlaLink="intern!I320"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intern!Q249" lockText="1" noThreeD="1"/>
</file>

<file path=xl/ctrlProps/ctrlProp117.xml><?xml version="1.0" encoding="utf-8"?>
<formControlPr xmlns="http://schemas.microsoft.com/office/spreadsheetml/2009/9/main" objectType="CheckBox" fmlaLink="intern!R249" lockText="1" noThreeD="1"/>
</file>

<file path=xl/ctrlProps/ctrlProp118.xml><?xml version="1.0" encoding="utf-8"?>
<formControlPr xmlns="http://schemas.microsoft.com/office/spreadsheetml/2009/9/main" objectType="CheckBox" fmlaLink="intern!S249" lockText="1" noThreeD="1"/>
</file>

<file path=xl/ctrlProps/ctrlProp119.xml><?xml version="1.0" encoding="utf-8"?>
<formControlPr xmlns="http://schemas.microsoft.com/office/spreadsheetml/2009/9/main" objectType="CheckBox" fmlaLink="intern!Q250"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intern!R250" lockText="1" noThreeD="1"/>
</file>

<file path=xl/ctrlProps/ctrlProp121.xml><?xml version="1.0" encoding="utf-8"?>
<formControlPr xmlns="http://schemas.microsoft.com/office/spreadsheetml/2009/9/main" objectType="CheckBox" fmlaLink="intern!S250" lockText="1" noThreeD="1"/>
</file>

<file path=xl/ctrlProps/ctrlProp122.xml><?xml version="1.0" encoding="utf-8"?>
<formControlPr xmlns="http://schemas.microsoft.com/office/spreadsheetml/2009/9/main" objectType="CheckBox" fmlaLink="intern!Q251" lockText="1" noThreeD="1"/>
</file>

<file path=xl/ctrlProps/ctrlProp123.xml><?xml version="1.0" encoding="utf-8"?>
<formControlPr xmlns="http://schemas.microsoft.com/office/spreadsheetml/2009/9/main" objectType="CheckBox" fmlaLink="intern!R251" lockText="1" noThreeD="1"/>
</file>

<file path=xl/ctrlProps/ctrlProp124.xml><?xml version="1.0" encoding="utf-8"?>
<formControlPr xmlns="http://schemas.microsoft.com/office/spreadsheetml/2009/9/main" objectType="CheckBox" fmlaLink="intern!S251" lockText="1" noThreeD="1"/>
</file>

<file path=xl/ctrlProps/ctrlProp125.xml><?xml version="1.0" encoding="utf-8"?>
<formControlPr xmlns="http://schemas.microsoft.com/office/spreadsheetml/2009/9/main" objectType="CheckBox" fmlaLink="intern!Q252" lockText="1" noThreeD="1"/>
</file>

<file path=xl/ctrlProps/ctrlProp126.xml><?xml version="1.0" encoding="utf-8"?>
<formControlPr xmlns="http://schemas.microsoft.com/office/spreadsheetml/2009/9/main" objectType="CheckBox" fmlaLink="intern!R252" lockText="1" noThreeD="1"/>
</file>

<file path=xl/ctrlProps/ctrlProp127.xml><?xml version="1.0" encoding="utf-8"?>
<formControlPr xmlns="http://schemas.microsoft.com/office/spreadsheetml/2009/9/main" objectType="CheckBox" fmlaLink="intern!S252" lockText="1" noThreeD="1"/>
</file>

<file path=xl/ctrlProps/ctrlProp128.xml><?xml version="1.0" encoding="utf-8"?>
<formControlPr xmlns="http://schemas.microsoft.com/office/spreadsheetml/2009/9/main" objectType="CheckBox" fmlaLink="intern!Q253" lockText="1" noThreeD="1"/>
</file>

<file path=xl/ctrlProps/ctrlProp129.xml><?xml version="1.0" encoding="utf-8"?>
<formControlPr xmlns="http://schemas.microsoft.com/office/spreadsheetml/2009/9/main" objectType="CheckBox" fmlaLink="intern!R253"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intern!S253" lockText="1" noThreeD="1"/>
</file>

<file path=xl/ctrlProps/ctrlProp131.xml><?xml version="1.0" encoding="utf-8"?>
<formControlPr xmlns="http://schemas.microsoft.com/office/spreadsheetml/2009/9/main" objectType="CheckBox" fmlaLink="intern!Q254" lockText="1" noThreeD="1"/>
</file>

<file path=xl/ctrlProps/ctrlProp132.xml><?xml version="1.0" encoding="utf-8"?>
<formControlPr xmlns="http://schemas.microsoft.com/office/spreadsheetml/2009/9/main" objectType="CheckBox" fmlaLink="intern!R254" lockText="1" noThreeD="1"/>
</file>

<file path=xl/ctrlProps/ctrlProp133.xml><?xml version="1.0" encoding="utf-8"?>
<formControlPr xmlns="http://schemas.microsoft.com/office/spreadsheetml/2009/9/main" objectType="CheckBox" fmlaLink="intern!S254" lockText="1" noThreeD="1"/>
</file>

<file path=xl/ctrlProps/ctrlProp134.xml><?xml version="1.0" encoding="utf-8"?>
<formControlPr xmlns="http://schemas.microsoft.com/office/spreadsheetml/2009/9/main" objectType="CheckBox" fmlaLink="intern!Q255" lockText="1" noThreeD="1"/>
</file>

<file path=xl/ctrlProps/ctrlProp135.xml><?xml version="1.0" encoding="utf-8"?>
<formControlPr xmlns="http://schemas.microsoft.com/office/spreadsheetml/2009/9/main" objectType="CheckBox" fmlaLink="intern!R255" lockText="1" noThreeD="1"/>
</file>

<file path=xl/ctrlProps/ctrlProp136.xml><?xml version="1.0" encoding="utf-8"?>
<formControlPr xmlns="http://schemas.microsoft.com/office/spreadsheetml/2009/9/main" objectType="CheckBox" fmlaLink="intern!S255" lockText="1" noThreeD="1"/>
</file>

<file path=xl/ctrlProps/ctrlProp137.xml><?xml version="1.0" encoding="utf-8"?>
<formControlPr xmlns="http://schemas.microsoft.com/office/spreadsheetml/2009/9/main" objectType="CheckBox" fmlaLink="intern!Q258" lockText="1" noThreeD="1"/>
</file>

<file path=xl/ctrlProps/ctrlProp138.xml><?xml version="1.0" encoding="utf-8"?>
<formControlPr xmlns="http://schemas.microsoft.com/office/spreadsheetml/2009/9/main" objectType="CheckBox" fmlaLink="intern!R258" lockText="1" noThreeD="1"/>
</file>

<file path=xl/ctrlProps/ctrlProp139.xml><?xml version="1.0" encoding="utf-8"?>
<formControlPr xmlns="http://schemas.microsoft.com/office/spreadsheetml/2009/9/main" objectType="CheckBox" fmlaLink="intern!S258"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intern!Q260" lockText="1" noThreeD="1"/>
</file>

<file path=xl/ctrlProps/ctrlProp141.xml><?xml version="1.0" encoding="utf-8"?>
<formControlPr xmlns="http://schemas.microsoft.com/office/spreadsheetml/2009/9/main" objectType="CheckBox" fmlaLink="intern!R260" lockText="1" noThreeD="1"/>
</file>

<file path=xl/ctrlProps/ctrlProp142.xml><?xml version="1.0" encoding="utf-8"?>
<formControlPr xmlns="http://schemas.microsoft.com/office/spreadsheetml/2009/9/main" objectType="CheckBox" fmlaLink="intern!S260" lockText="1" noThreeD="1"/>
</file>

<file path=xl/ctrlProps/ctrlProp143.xml><?xml version="1.0" encoding="utf-8"?>
<formControlPr xmlns="http://schemas.microsoft.com/office/spreadsheetml/2009/9/main" objectType="CheckBox" fmlaLink="intern!Q261" lockText="1" noThreeD="1"/>
</file>

<file path=xl/ctrlProps/ctrlProp144.xml><?xml version="1.0" encoding="utf-8"?>
<formControlPr xmlns="http://schemas.microsoft.com/office/spreadsheetml/2009/9/main" objectType="CheckBox" fmlaLink="intern!R261" lockText="1" noThreeD="1"/>
</file>

<file path=xl/ctrlProps/ctrlProp145.xml><?xml version="1.0" encoding="utf-8"?>
<formControlPr xmlns="http://schemas.microsoft.com/office/spreadsheetml/2009/9/main" objectType="CheckBox" fmlaLink="intern!S261" lockText="1" noThreeD="1"/>
</file>

<file path=xl/ctrlProps/ctrlProp146.xml><?xml version="1.0" encoding="utf-8"?>
<formControlPr xmlns="http://schemas.microsoft.com/office/spreadsheetml/2009/9/main" objectType="CheckBox" fmlaLink="intern!Q262" lockText="1" noThreeD="1"/>
</file>

<file path=xl/ctrlProps/ctrlProp147.xml><?xml version="1.0" encoding="utf-8"?>
<formControlPr xmlns="http://schemas.microsoft.com/office/spreadsheetml/2009/9/main" objectType="CheckBox" fmlaLink="intern!R262" lockText="1" noThreeD="1"/>
</file>

<file path=xl/ctrlProps/ctrlProp148.xml><?xml version="1.0" encoding="utf-8"?>
<formControlPr xmlns="http://schemas.microsoft.com/office/spreadsheetml/2009/9/main" objectType="CheckBox" fmlaLink="intern!S262" lockText="1" noThreeD="1"/>
</file>

<file path=xl/ctrlProps/ctrlProp149.xml><?xml version="1.0" encoding="utf-8"?>
<formControlPr xmlns="http://schemas.microsoft.com/office/spreadsheetml/2009/9/main" objectType="CheckBox" fmlaLink="intern!Q265"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intern!R265" lockText="1" noThreeD="1"/>
</file>

<file path=xl/ctrlProps/ctrlProp151.xml><?xml version="1.0" encoding="utf-8"?>
<formControlPr xmlns="http://schemas.microsoft.com/office/spreadsheetml/2009/9/main" objectType="CheckBox" fmlaLink="intern!S265" lockText="1" noThreeD="1"/>
</file>

<file path=xl/ctrlProps/ctrlProp152.xml><?xml version="1.0" encoding="utf-8"?>
<formControlPr xmlns="http://schemas.microsoft.com/office/spreadsheetml/2009/9/main" objectType="CheckBox" fmlaLink="intern!Q266" lockText="1" noThreeD="1"/>
</file>

<file path=xl/ctrlProps/ctrlProp153.xml><?xml version="1.0" encoding="utf-8"?>
<formControlPr xmlns="http://schemas.microsoft.com/office/spreadsheetml/2009/9/main" objectType="CheckBox" fmlaLink="intern!R266" lockText="1" noThreeD="1"/>
</file>

<file path=xl/ctrlProps/ctrlProp154.xml><?xml version="1.0" encoding="utf-8"?>
<formControlPr xmlns="http://schemas.microsoft.com/office/spreadsheetml/2009/9/main" objectType="CheckBox" fmlaLink="intern!S266" lockText="1" noThreeD="1"/>
</file>

<file path=xl/ctrlProps/ctrlProp155.xml><?xml version="1.0" encoding="utf-8"?>
<formControlPr xmlns="http://schemas.microsoft.com/office/spreadsheetml/2009/9/main" objectType="CheckBox" fmlaLink="intern!Q267" lockText="1" noThreeD="1"/>
</file>

<file path=xl/ctrlProps/ctrlProp156.xml><?xml version="1.0" encoding="utf-8"?>
<formControlPr xmlns="http://schemas.microsoft.com/office/spreadsheetml/2009/9/main" objectType="CheckBox" fmlaLink="intern!R267" lockText="1" noThreeD="1"/>
</file>

<file path=xl/ctrlProps/ctrlProp157.xml><?xml version="1.0" encoding="utf-8"?>
<formControlPr xmlns="http://schemas.microsoft.com/office/spreadsheetml/2009/9/main" objectType="CheckBox" fmlaLink="intern!S267" lockText="1" noThreeD="1"/>
</file>

<file path=xl/ctrlProps/ctrlProp158.xml><?xml version="1.0" encoding="utf-8"?>
<formControlPr xmlns="http://schemas.microsoft.com/office/spreadsheetml/2009/9/main" objectType="CheckBox" fmlaLink="intern!Q270" lockText="1" noThreeD="1"/>
</file>

<file path=xl/ctrlProps/ctrlProp159.xml><?xml version="1.0" encoding="utf-8"?>
<formControlPr xmlns="http://schemas.microsoft.com/office/spreadsheetml/2009/9/main" objectType="CheckBox" fmlaLink="intern!R270"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intern!S270" lockText="1" noThreeD="1"/>
</file>

<file path=xl/ctrlProps/ctrlProp161.xml><?xml version="1.0" encoding="utf-8"?>
<formControlPr xmlns="http://schemas.microsoft.com/office/spreadsheetml/2009/9/main" objectType="CheckBox" fmlaLink="intern!Q271" lockText="1" noThreeD="1"/>
</file>

<file path=xl/ctrlProps/ctrlProp162.xml><?xml version="1.0" encoding="utf-8"?>
<formControlPr xmlns="http://schemas.microsoft.com/office/spreadsheetml/2009/9/main" objectType="CheckBox" fmlaLink="intern!R271" lockText="1" noThreeD="1"/>
</file>

<file path=xl/ctrlProps/ctrlProp163.xml><?xml version="1.0" encoding="utf-8"?>
<formControlPr xmlns="http://schemas.microsoft.com/office/spreadsheetml/2009/9/main" objectType="CheckBox" fmlaLink="intern!S271" lockText="1" noThreeD="1"/>
</file>

<file path=xl/ctrlProps/ctrlProp164.xml><?xml version="1.0" encoding="utf-8"?>
<formControlPr xmlns="http://schemas.microsoft.com/office/spreadsheetml/2009/9/main" objectType="CheckBox" fmlaLink="intern!Q272" lockText="1" noThreeD="1"/>
</file>

<file path=xl/ctrlProps/ctrlProp165.xml><?xml version="1.0" encoding="utf-8"?>
<formControlPr xmlns="http://schemas.microsoft.com/office/spreadsheetml/2009/9/main" objectType="CheckBox" fmlaLink="intern!R272" lockText="1" noThreeD="1"/>
</file>

<file path=xl/ctrlProps/ctrlProp166.xml><?xml version="1.0" encoding="utf-8"?>
<formControlPr xmlns="http://schemas.microsoft.com/office/spreadsheetml/2009/9/main" objectType="CheckBox" fmlaLink="intern!S272" lockText="1" noThreeD="1"/>
</file>

<file path=xl/ctrlProps/ctrlProp167.xml><?xml version="1.0" encoding="utf-8"?>
<formControlPr xmlns="http://schemas.microsoft.com/office/spreadsheetml/2009/9/main" objectType="CheckBox" fmlaLink="intern!Q273" lockText="1" noThreeD="1"/>
</file>

<file path=xl/ctrlProps/ctrlProp168.xml><?xml version="1.0" encoding="utf-8"?>
<formControlPr xmlns="http://schemas.microsoft.com/office/spreadsheetml/2009/9/main" objectType="CheckBox" fmlaLink="intern!R273" lockText="1" noThreeD="1"/>
</file>

<file path=xl/ctrlProps/ctrlProp169.xml><?xml version="1.0" encoding="utf-8"?>
<formControlPr xmlns="http://schemas.microsoft.com/office/spreadsheetml/2009/9/main" objectType="CheckBox" fmlaLink="intern!S273"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intern!Q274" lockText="1" noThreeD="1"/>
</file>

<file path=xl/ctrlProps/ctrlProp171.xml><?xml version="1.0" encoding="utf-8"?>
<formControlPr xmlns="http://schemas.microsoft.com/office/spreadsheetml/2009/9/main" objectType="CheckBox" fmlaLink="intern!R274" lockText="1" noThreeD="1"/>
</file>

<file path=xl/ctrlProps/ctrlProp172.xml><?xml version="1.0" encoding="utf-8"?>
<formControlPr xmlns="http://schemas.microsoft.com/office/spreadsheetml/2009/9/main" objectType="CheckBox" fmlaLink="intern!S274" lockText="1" noThreeD="1"/>
</file>

<file path=xl/ctrlProps/ctrlProp173.xml><?xml version="1.0" encoding="utf-8"?>
<formControlPr xmlns="http://schemas.microsoft.com/office/spreadsheetml/2009/9/main" objectType="CheckBox" fmlaLink="intern!Q275" lockText="1" noThreeD="1"/>
</file>

<file path=xl/ctrlProps/ctrlProp174.xml><?xml version="1.0" encoding="utf-8"?>
<formControlPr xmlns="http://schemas.microsoft.com/office/spreadsheetml/2009/9/main" objectType="CheckBox" fmlaLink="intern!R275" lockText="1" noThreeD="1"/>
</file>

<file path=xl/ctrlProps/ctrlProp175.xml><?xml version="1.0" encoding="utf-8"?>
<formControlPr xmlns="http://schemas.microsoft.com/office/spreadsheetml/2009/9/main" objectType="CheckBox" fmlaLink="intern!S275" lockText="1" noThreeD="1"/>
</file>

<file path=xl/ctrlProps/ctrlProp176.xml><?xml version="1.0" encoding="utf-8"?>
<formControlPr xmlns="http://schemas.microsoft.com/office/spreadsheetml/2009/9/main" objectType="CheckBox" fmlaLink="intern!Q276" lockText="1" noThreeD="1"/>
</file>

<file path=xl/ctrlProps/ctrlProp177.xml><?xml version="1.0" encoding="utf-8"?>
<formControlPr xmlns="http://schemas.microsoft.com/office/spreadsheetml/2009/9/main" objectType="CheckBox" fmlaLink="intern!R276" lockText="1" noThreeD="1"/>
</file>

<file path=xl/ctrlProps/ctrlProp178.xml><?xml version="1.0" encoding="utf-8"?>
<formControlPr xmlns="http://schemas.microsoft.com/office/spreadsheetml/2009/9/main" objectType="CheckBox" fmlaLink="intern!S276" lockText="1" noThreeD="1"/>
</file>

<file path=xl/ctrlProps/ctrlProp179.xml><?xml version="1.0" encoding="utf-8"?>
<formControlPr xmlns="http://schemas.microsoft.com/office/spreadsheetml/2009/9/main" objectType="CheckBox" fmlaLink="intern!Q281"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intern!R281" lockText="1" noThreeD="1"/>
</file>

<file path=xl/ctrlProps/ctrlProp181.xml><?xml version="1.0" encoding="utf-8"?>
<formControlPr xmlns="http://schemas.microsoft.com/office/spreadsheetml/2009/9/main" objectType="CheckBox" fmlaLink="intern!S281" lockText="1" noThreeD="1"/>
</file>

<file path=xl/ctrlProps/ctrlProp182.xml><?xml version="1.0" encoding="utf-8"?>
<formControlPr xmlns="http://schemas.microsoft.com/office/spreadsheetml/2009/9/main" objectType="CheckBox" fmlaLink="intern!Q282" lockText="1" noThreeD="1"/>
</file>

<file path=xl/ctrlProps/ctrlProp183.xml><?xml version="1.0" encoding="utf-8"?>
<formControlPr xmlns="http://schemas.microsoft.com/office/spreadsheetml/2009/9/main" objectType="CheckBox" fmlaLink="intern!R282" lockText="1" noThreeD="1"/>
</file>

<file path=xl/ctrlProps/ctrlProp184.xml><?xml version="1.0" encoding="utf-8"?>
<formControlPr xmlns="http://schemas.microsoft.com/office/spreadsheetml/2009/9/main" objectType="CheckBox" fmlaLink="intern!S282" lockText="1" noThreeD="1"/>
</file>

<file path=xl/ctrlProps/ctrlProp185.xml><?xml version="1.0" encoding="utf-8"?>
<formControlPr xmlns="http://schemas.microsoft.com/office/spreadsheetml/2009/9/main" objectType="CheckBox" fmlaLink="intern!Q283" lockText="1" noThreeD="1"/>
</file>

<file path=xl/ctrlProps/ctrlProp186.xml><?xml version="1.0" encoding="utf-8"?>
<formControlPr xmlns="http://schemas.microsoft.com/office/spreadsheetml/2009/9/main" objectType="CheckBox" fmlaLink="intern!R283" lockText="1" noThreeD="1"/>
</file>

<file path=xl/ctrlProps/ctrlProp187.xml><?xml version="1.0" encoding="utf-8"?>
<formControlPr xmlns="http://schemas.microsoft.com/office/spreadsheetml/2009/9/main" objectType="CheckBox" fmlaLink="intern!S283" lockText="1" noThreeD="1"/>
</file>

<file path=xl/ctrlProps/ctrlProp188.xml><?xml version="1.0" encoding="utf-8"?>
<formControlPr xmlns="http://schemas.microsoft.com/office/spreadsheetml/2009/9/main" objectType="CheckBox" fmlaLink="intern!Q284" lockText="1" noThreeD="1"/>
</file>

<file path=xl/ctrlProps/ctrlProp189.xml><?xml version="1.0" encoding="utf-8"?>
<formControlPr xmlns="http://schemas.microsoft.com/office/spreadsheetml/2009/9/main" objectType="CheckBox" fmlaLink="intern!R284"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intern!S284" lockText="1" noThreeD="1"/>
</file>

<file path=xl/ctrlProps/ctrlProp191.xml><?xml version="1.0" encoding="utf-8"?>
<formControlPr xmlns="http://schemas.microsoft.com/office/spreadsheetml/2009/9/main" objectType="CheckBox" fmlaLink="intern!Q285" lockText="1" noThreeD="1"/>
</file>

<file path=xl/ctrlProps/ctrlProp192.xml><?xml version="1.0" encoding="utf-8"?>
<formControlPr xmlns="http://schemas.microsoft.com/office/spreadsheetml/2009/9/main" objectType="CheckBox" fmlaLink="intern!R285" lockText="1" noThreeD="1"/>
</file>

<file path=xl/ctrlProps/ctrlProp193.xml><?xml version="1.0" encoding="utf-8"?>
<formControlPr xmlns="http://schemas.microsoft.com/office/spreadsheetml/2009/9/main" objectType="CheckBox" fmlaLink="intern!S285" lockText="1" noThreeD="1"/>
</file>

<file path=xl/ctrlProps/ctrlProp194.xml><?xml version="1.0" encoding="utf-8"?>
<formControlPr xmlns="http://schemas.microsoft.com/office/spreadsheetml/2009/9/main" objectType="CheckBox" fmlaLink="intern!Q286" lockText="1" noThreeD="1"/>
</file>

<file path=xl/ctrlProps/ctrlProp195.xml><?xml version="1.0" encoding="utf-8"?>
<formControlPr xmlns="http://schemas.microsoft.com/office/spreadsheetml/2009/9/main" objectType="CheckBox" fmlaLink="intern!R286" lockText="1" noThreeD="1"/>
</file>

<file path=xl/ctrlProps/ctrlProp196.xml><?xml version="1.0" encoding="utf-8"?>
<formControlPr xmlns="http://schemas.microsoft.com/office/spreadsheetml/2009/9/main" objectType="CheckBox" fmlaLink="intern!S286" lockText="1" noThreeD="1"/>
</file>

<file path=xl/ctrlProps/ctrlProp197.xml><?xml version="1.0" encoding="utf-8"?>
<formControlPr xmlns="http://schemas.microsoft.com/office/spreadsheetml/2009/9/main" objectType="CheckBox" fmlaLink="intern!Q289" lockText="1" noThreeD="1"/>
</file>

<file path=xl/ctrlProps/ctrlProp198.xml><?xml version="1.0" encoding="utf-8"?>
<formControlPr xmlns="http://schemas.microsoft.com/office/spreadsheetml/2009/9/main" objectType="CheckBox" fmlaLink="intern!R289" lockText="1" noThreeD="1"/>
</file>

<file path=xl/ctrlProps/ctrlProp199.xml><?xml version="1.0" encoding="utf-8"?>
<formControlPr xmlns="http://schemas.microsoft.com/office/spreadsheetml/2009/9/main" objectType="CheckBox" fmlaLink="intern!S289"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fmlaLink="intern!Q290" lockText="1" noThreeD="1"/>
</file>

<file path=xl/ctrlProps/ctrlProp201.xml><?xml version="1.0" encoding="utf-8"?>
<formControlPr xmlns="http://schemas.microsoft.com/office/spreadsheetml/2009/9/main" objectType="CheckBox" fmlaLink="intern!R290" lockText="1" noThreeD="1"/>
</file>

<file path=xl/ctrlProps/ctrlProp202.xml><?xml version="1.0" encoding="utf-8"?>
<formControlPr xmlns="http://schemas.microsoft.com/office/spreadsheetml/2009/9/main" objectType="CheckBox" fmlaLink="intern!S290" lockText="1" noThreeD="1"/>
</file>

<file path=xl/ctrlProps/ctrlProp203.xml><?xml version="1.0" encoding="utf-8"?>
<formControlPr xmlns="http://schemas.microsoft.com/office/spreadsheetml/2009/9/main" objectType="CheckBox" fmlaLink="intern!Q291" lockText="1" noThreeD="1"/>
</file>

<file path=xl/ctrlProps/ctrlProp204.xml><?xml version="1.0" encoding="utf-8"?>
<formControlPr xmlns="http://schemas.microsoft.com/office/spreadsheetml/2009/9/main" objectType="CheckBox" fmlaLink="intern!R291" lockText="1" noThreeD="1"/>
</file>

<file path=xl/ctrlProps/ctrlProp205.xml><?xml version="1.0" encoding="utf-8"?>
<formControlPr xmlns="http://schemas.microsoft.com/office/spreadsheetml/2009/9/main" objectType="CheckBox" fmlaLink="intern!S291" lockText="1" noThreeD="1"/>
</file>

<file path=xl/ctrlProps/ctrlProp206.xml><?xml version="1.0" encoding="utf-8"?>
<formControlPr xmlns="http://schemas.microsoft.com/office/spreadsheetml/2009/9/main" objectType="CheckBox" fmlaLink="intern!Q294" lockText="1" noThreeD="1"/>
</file>

<file path=xl/ctrlProps/ctrlProp207.xml><?xml version="1.0" encoding="utf-8"?>
<formControlPr xmlns="http://schemas.microsoft.com/office/spreadsheetml/2009/9/main" objectType="CheckBox" fmlaLink="intern!R294" lockText="1" noThreeD="1"/>
</file>

<file path=xl/ctrlProps/ctrlProp208.xml><?xml version="1.0" encoding="utf-8"?>
<formControlPr xmlns="http://schemas.microsoft.com/office/spreadsheetml/2009/9/main" objectType="CheckBox" fmlaLink="intern!S294" lockText="1" noThreeD="1"/>
</file>

<file path=xl/ctrlProps/ctrlProp209.xml><?xml version="1.0" encoding="utf-8"?>
<formControlPr xmlns="http://schemas.microsoft.com/office/spreadsheetml/2009/9/main" objectType="CheckBox" fmlaLink="intern!Q298"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fmlaLink="intern!R298" lockText="1" noThreeD="1"/>
</file>

<file path=xl/ctrlProps/ctrlProp211.xml><?xml version="1.0" encoding="utf-8"?>
<formControlPr xmlns="http://schemas.microsoft.com/office/spreadsheetml/2009/9/main" objectType="CheckBox" fmlaLink="intern!S298" lockText="1" noThreeD="1"/>
</file>

<file path=xl/ctrlProps/ctrlProp212.xml><?xml version="1.0" encoding="utf-8"?>
<formControlPr xmlns="http://schemas.microsoft.com/office/spreadsheetml/2009/9/main" objectType="CheckBox" fmlaLink="intern!Q299" lockText="1" noThreeD="1"/>
</file>

<file path=xl/ctrlProps/ctrlProp213.xml><?xml version="1.0" encoding="utf-8"?>
<formControlPr xmlns="http://schemas.microsoft.com/office/spreadsheetml/2009/9/main" objectType="CheckBox" fmlaLink="intern!R299" lockText="1" noThreeD="1"/>
</file>

<file path=xl/ctrlProps/ctrlProp214.xml><?xml version="1.0" encoding="utf-8"?>
<formControlPr xmlns="http://schemas.microsoft.com/office/spreadsheetml/2009/9/main" objectType="CheckBox" fmlaLink="intern!S299" lockText="1" noThreeD="1"/>
</file>

<file path=xl/ctrlProps/ctrlProp215.xml><?xml version="1.0" encoding="utf-8"?>
<formControlPr xmlns="http://schemas.microsoft.com/office/spreadsheetml/2009/9/main" objectType="CheckBox" fmlaLink="intern!Q300" lockText="1" noThreeD="1"/>
</file>

<file path=xl/ctrlProps/ctrlProp216.xml><?xml version="1.0" encoding="utf-8"?>
<formControlPr xmlns="http://schemas.microsoft.com/office/spreadsheetml/2009/9/main" objectType="CheckBox" fmlaLink="intern!R300" lockText="1" noThreeD="1"/>
</file>

<file path=xl/ctrlProps/ctrlProp217.xml><?xml version="1.0" encoding="utf-8"?>
<formControlPr xmlns="http://schemas.microsoft.com/office/spreadsheetml/2009/9/main" objectType="CheckBox" fmlaLink="intern!S300" lockText="1" noThreeD="1"/>
</file>

<file path=xl/ctrlProps/ctrlProp218.xml><?xml version="1.0" encoding="utf-8"?>
<formControlPr xmlns="http://schemas.microsoft.com/office/spreadsheetml/2009/9/main" objectType="CheckBox" fmlaLink="intern!Q301" lockText="1" noThreeD="1"/>
</file>

<file path=xl/ctrlProps/ctrlProp219.xml><?xml version="1.0" encoding="utf-8"?>
<formControlPr xmlns="http://schemas.microsoft.com/office/spreadsheetml/2009/9/main" objectType="CheckBox" fmlaLink="intern!R301"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fmlaLink="intern!S301" lockText="1" noThreeD="1"/>
</file>

<file path=xl/ctrlProps/ctrlProp221.xml><?xml version="1.0" encoding="utf-8"?>
<formControlPr xmlns="http://schemas.microsoft.com/office/spreadsheetml/2009/9/main" objectType="CheckBox" fmlaLink="intern!Q302" lockText="1" noThreeD="1"/>
</file>

<file path=xl/ctrlProps/ctrlProp222.xml><?xml version="1.0" encoding="utf-8"?>
<formControlPr xmlns="http://schemas.microsoft.com/office/spreadsheetml/2009/9/main" objectType="CheckBox" fmlaLink="intern!R302" lockText="1" noThreeD="1"/>
</file>

<file path=xl/ctrlProps/ctrlProp223.xml><?xml version="1.0" encoding="utf-8"?>
<formControlPr xmlns="http://schemas.microsoft.com/office/spreadsheetml/2009/9/main" objectType="CheckBox" fmlaLink="intern!S302" lockText="1" noThreeD="1"/>
</file>

<file path=xl/ctrlProps/ctrlProp224.xml><?xml version="1.0" encoding="utf-8"?>
<formControlPr xmlns="http://schemas.microsoft.com/office/spreadsheetml/2009/9/main" objectType="CheckBox" fmlaLink="intern!Q306" lockText="1" noThreeD="1"/>
</file>

<file path=xl/ctrlProps/ctrlProp225.xml><?xml version="1.0" encoding="utf-8"?>
<formControlPr xmlns="http://schemas.microsoft.com/office/spreadsheetml/2009/9/main" objectType="CheckBox" fmlaLink="intern!R306" lockText="1" noThreeD="1"/>
</file>

<file path=xl/ctrlProps/ctrlProp226.xml><?xml version="1.0" encoding="utf-8"?>
<formControlPr xmlns="http://schemas.microsoft.com/office/spreadsheetml/2009/9/main" objectType="CheckBox" fmlaLink="intern!S306" lockText="1" noThreeD="1"/>
</file>

<file path=xl/ctrlProps/ctrlProp227.xml><?xml version="1.0" encoding="utf-8"?>
<formControlPr xmlns="http://schemas.microsoft.com/office/spreadsheetml/2009/9/main" objectType="CheckBox" fmlaLink="intern!Q307" lockText="1" noThreeD="1"/>
</file>

<file path=xl/ctrlProps/ctrlProp228.xml><?xml version="1.0" encoding="utf-8"?>
<formControlPr xmlns="http://schemas.microsoft.com/office/spreadsheetml/2009/9/main" objectType="CheckBox" fmlaLink="intern!R307" lockText="1" noThreeD="1"/>
</file>

<file path=xl/ctrlProps/ctrlProp229.xml><?xml version="1.0" encoding="utf-8"?>
<formControlPr xmlns="http://schemas.microsoft.com/office/spreadsheetml/2009/9/main" objectType="CheckBox" fmlaLink="intern!S307"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fmlaLink="intern!Q308" lockText="1" noThreeD="1"/>
</file>

<file path=xl/ctrlProps/ctrlProp231.xml><?xml version="1.0" encoding="utf-8"?>
<formControlPr xmlns="http://schemas.microsoft.com/office/spreadsheetml/2009/9/main" objectType="CheckBox" fmlaLink="intern!R308" lockText="1" noThreeD="1"/>
</file>

<file path=xl/ctrlProps/ctrlProp232.xml><?xml version="1.0" encoding="utf-8"?>
<formControlPr xmlns="http://schemas.microsoft.com/office/spreadsheetml/2009/9/main" objectType="CheckBox" fmlaLink="intern!S308" lockText="1" noThreeD="1"/>
</file>

<file path=xl/ctrlProps/ctrlProp233.xml><?xml version="1.0" encoding="utf-8"?>
<formControlPr xmlns="http://schemas.microsoft.com/office/spreadsheetml/2009/9/main" objectType="CheckBox" fmlaLink="intern!Q309" lockText="1" noThreeD="1"/>
</file>

<file path=xl/ctrlProps/ctrlProp234.xml><?xml version="1.0" encoding="utf-8"?>
<formControlPr xmlns="http://schemas.microsoft.com/office/spreadsheetml/2009/9/main" objectType="CheckBox" fmlaLink="intern!R309" lockText="1" noThreeD="1"/>
</file>

<file path=xl/ctrlProps/ctrlProp235.xml><?xml version="1.0" encoding="utf-8"?>
<formControlPr xmlns="http://schemas.microsoft.com/office/spreadsheetml/2009/9/main" objectType="CheckBox" fmlaLink="intern!S309" lockText="1" noThreeD="1"/>
</file>

<file path=xl/ctrlProps/ctrlProp236.xml><?xml version="1.0" encoding="utf-8"?>
<formControlPr xmlns="http://schemas.microsoft.com/office/spreadsheetml/2009/9/main" objectType="CheckBox" fmlaLink="intern!Q310" lockText="1" noThreeD="1"/>
</file>

<file path=xl/ctrlProps/ctrlProp237.xml><?xml version="1.0" encoding="utf-8"?>
<formControlPr xmlns="http://schemas.microsoft.com/office/spreadsheetml/2009/9/main" objectType="CheckBox" fmlaLink="intern!R310" lockText="1" noThreeD="1"/>
</file>

<file path=xl/ctrlProps/ctrlProp238.xml><?xml version="1.0" encoding="utf-8"?>
<formControlPr xmlns="http://schemas.microsoft.com/office/spreadsheetml/2009/9/main" objectType="CheckBox" fmlaLink="intern!S310" lockText="1" noThreeD="1"/>
</file>

<file path=xl/ctrlProps/ctrlProp239.xml><?xml version="1.0" encoding="utf-8"?>
<formControlPr xmlns="http://schemas.microsoft.com/office/spreadsheetml/2009/9/main" objectType="CheckBox" fmlaLink="intern!Q311"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fmlaLink="intern!R311" lockText="1" noThreeD="1"/>
</file>

<file path=xl/ctrlProps/ctrlProp241.xml><?xml version="1.0" encoding="utf-8"?>
<formControlPr xmlns="http://schemas.microsoft.com/office/spreadsheetml/2009/9/main" objectType="CheckBox" fmlaLink="intern!S311" lockText="1" noThreeD="1"/>
</file>

<file path=xl/ctrlProps/ctrlProp242.xml><?xml version="1.0" encoding="utf-8"?>
<formControlPr xmlns="http://schemas.microsoft.com/office/spreadsheetml/2009/9/main" objectType="CheckBox" fmlaLink="intern!$Q$259" lockText="1" noThreeD="1"/>
</file>

<file path=xl/ctrlProps/ctrlProp243.xml><?xml version="1.0" encoding="utf-8"?>
<formControlPr xmlns="http://schemas.microsoft.com/office/spreadsheetml/2009/9/main" objectType="CheckBox" fmlaLink="intern!$R$259" lockText="1" noThreeD="1"/>
</file>

<file path=xl/ctrlProps/ctrlProp244.xml><?xml version="1.0" encoding="utf-8"?>
<formControlPr xmlns="http://schemas.microsoft.com/office/spreadsheetml/2009/9/main" objectType="CheckBox" fmlaLink="intern!$S$259"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intern!I250" lockText="1" noThreeD="1"/>
</file>

<file path=xl/ctrlProps/ctrlProp75.xml><?xml version="1.0" encoding="utf-8"?>
<formControlPr xmlns="http://schemas.microsoft.com/office/spreadsheetml/2009/9/main" objectType="CheckBox" fmlaLink="intern!I251" lockText="1" noThreeD="1"/>
</file>

<file path=xl/ctrlProps/ctrlProp76.xml><?xml version="1.0" encoding="utf-8"?>
<formControlPr xmlns="http://schemas.microsoft.com/office/spreadsheetml/2009/9/main" objectType="CheckBox" fmlaLink="intern!I252" lockText="1" noThreeD="1"/>
</file>

<file path=xl/ctrlProps/ctrlProp77.xml><?xml version="1.0" encoding="utf-8"?>
<formControlPr xmlns="http://schemas.microsoft.com/office/spreadsheetml/2009/9/main" objectType="CheckBox" fmlaLink="intern!I253" lockText="1" noThreeD="1"/>
</file>

<file path=xl/ctrlProps/ctrlProp78.xml><?xml version="1.0" encoding="utf-8"?>
<formControlPr xmlns="http://schemas.microsoft.com/office/spreadsheetml/2009/9/main" objectType="CheckBox" fmlaLink="intern!I254" lockText="1" noThreeD="1"/>
</file>

<file path=xl/ctrlProps/ctrlProp79.xml><?xml version="1.0" encoding="utf-8"?>
<formControlPr xmlns="http://schemas.microsoft.com/office/spreadsheetml/2009/9/main" objectType="CheckBox" fmlaLink="intern!I255"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fmlaLink="intern!I256" lockText="1" noThreeD="1"/>
</file>

<file path=xl/ctrlProps/ctrlProp81.xml><?xml version="1.0" encoding="utf-8"?>
<formControlPr xmlns="http://schemas.microsoft.com/office/spreadsheetml/2009/9/main" objectType="CheckBox" fmlaLink="intern!I260" lockText="1" noThreeD="1"/>
</file>

<file path=xl/ctrlProps/ctrlProp82.xml><?xml version="1.0" encoding="utf-8"?>
<formControlPr xmlns="http://schemas.microsoft.com/office/spreadsheetml/2009/9/main" objectType="CheckBox" fmlaLink="intern!I261" lockText="1" noThreeD="1"/>
</file>

<file path=xl/ctrlProps/ctrlProp83.xml><?xml version="1.0" encoding="utf-8"?>
<formControlPr xmlns="http://schemas.microsoft.com/office/spreadsheetml/2009/9/main" objectType="CheckBox" fmlaLink="intern!I265" lockText="1" noThreeD="1"/>
</file>

<file path=xl/ctrlProps/ctrlProp84.xml><?xml version="1.0" encoding="utf-8"?>
<formControlPr xmlns="http://schemas.microsoft.com/office/spreadsheetml/2009/9/main" objectType="CheckBox" fmlaLink="intern!I266" lockText="1" noThreeD="1"/>
</file>

<file path=xl/ctrlProps/ctrlProp85.xml><?xml version="1.0" encoding="utf-8"?>
<formControlPr xmlns="http://schemas.microsoft.com/office/spreadsheetml/2009/9/main" objectType="CheckBox" fmlaLink="intern!I267" lockText="1" noThreeD="1"/>
</file>

<file path=xl/ctrlProps/ctrlProp86.xml><?xml version="1.0" encoding="utf-8"?>
<formControlPr xmlns="http://schemas.microsoft.com/office/spreadsheetml/2009/9/main" objectType="CheckBox" fmlaLink="intern!I268" lockText="1" noThreeD="1"/>
</file>

<file path=xl/ctrlProps/ctrlProp87.xml><?xml version="1.0" encoding="utf-8"?>
<formControlPr xmlns="http://schemas.microsoft.com/office/spreadsheetml/2009/9/main" objectType="CheckBox" fmlaLink="intern!I272" lockText="1" noThreeD="1"/>
</file>

<file path=xl/ctrlProps/ctrlProp88.xml><?xml version="1.0" encoding="utf-8"?>
<formControlPr xmlns="http://schemas.microsoft.com/office/spreadsheetml/2009/9/main" objectType="CheckBox" fmlaLink="intern!I273" lockText="1" noThreeD="1"/>
</file>

<file path=xl/ctrlProps/ctrlProp89.xml><?xml version="1.0" encoding="utf-8"?>
<formControlPr xmlns="http://schemas.microsoft.com/office/spreadsheetml/2009/9/main" objectType="CheckBox" fmlaLink="intern!I274"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fmlaLink="intern!I275" lockText="1" noThreeD="1"/>
</file>

<file path=xl/ctrlProps/ctrlProp91.xml><?xml version="1.0" encoding="utf-8"?>
<formControlPr xmlns="http://schemas.microsoft.com/office/spreadsheetml/2009/9/main" objectType="CheckBox" fmlaLink="intern!I279" lockText="1" noThreeD="1"/>
</file>

<file path=xl/ctrlProps/ctrlProp92.xml><?xml version="1.0" encoding="utf-8"?>
<formControlPr xmlns="http://schemas.microsoft.com/office/spreadsheetml/2009/9/main" objectType="CheckBox" fmlaLink="intern!I280" lockText="1" noThreeD="1"/>
</file>

<file path=xl/ctrlProps/ctrlProp93.xml><?xml version="1.0" encoding="utf-8"?>
<formControlPr xmlns="http://schemas.microsoft.com/office/spreadsheetml/2009/9/main" objectType="CheckBox" fmlaLink="intern!I284" lockText="1" noThreeD="1"/>
</file>

<file path=xl/ctrlProps/ctrlProp94.xml><?xml version="1.0" encoding="utf-8"?>
<formControlPr xmlns="http://schemas.microsoft.com/office/spreadsheetml/2009/9/main" objectType="CheckBox" fmlaLink="intern!I285" lockText="1" noThreeD="1"/>
</file>

<file path=xl/ctrlProps/ctrlProp95.xml><?xml version="1.0" encoding="utf-8"?>
<formControlPr xmlns="http://schemas.microsoft.com/office/spreadsheetml/2009/9/main" objectType="CheckBox" fmlaLink="intern!I286" lockText="1" noThreeD="1"/>
</file>

<file path=xl/ctrlProps/ctrlProp96.xml><?xml version="1.0" encoding="utf-8"?>
<formControlPr xmlns="http://schemas.microsoft.com/office/spreadsheetml/2009/9/main" objectType="CheckBox" fmlaLink="intern!I287" lockText="1" noThreeD="1"/>
</file>

<file path=xl/ctrlProps/ctrlProp97.xml><?xml version="1.0" encoding="utf-8"?>
<formControlPr xmlns="http://schemas.microsoft.com/office/spreadsheetml/2009/9/main" objectType="CheckBox" fmlaLink="intern!I288" lockText="1" noThreeD="1"/>
</file>

<file path=xl/ctrlProps/ctrlProp98.xml><?xml version="1.0" encoding="utf-8"?>
<formControlPr xmlns="http://schemas.microsoft.com/office/spreadsheetml/2009/9/main" objectType="CheckBox" fmlaLink="intern!I289" lockText="1" noThreeD="1"/>
</file>

<file path=xl/ctrlProps/ctrlProp99.xml><?xml version="1.0" encoding="utf-8"?>
<formControlPr xmlns="http://schemas.microsoft.com/office/spreadsheetml/2009/9/main" objectType="CheckBox" fmlaLink="intern!I290"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https://radparken.info/#kontakt" TargetMode="External"/><Relationship Id="rId18" Type="http://schemas.openxmlformats.org/officeDocument/2006/relationships/hyperlink" Target="#'D &#9642; Kostenanalyse'!A4"/><Relationship Id="rId3" Type="http://schemas.openxmlformats.org/officeDocument/2006/relationships/hyperlink" Target="https://radparken.info" TargetMode="External"/><Relationship Id="rId21" Type="http://schemas.openxmlformats.org/officeDocument/2006/relationships/hyperlink" Target="#'F &#9642; Kurzbericht'!A4"/><Relationship Id="rId7" Type="http://schemas.openxmlformats.org/officeDocument/2006/relationships/image" Target="../media/image5.png"/><Relationship Id="rId12" Type="http://schemas.openxmlformats.org/officeDocument/2006/relationships/hyperlink" Target="https://radparken.info/wirkungsrechner/" TargetMode="External"/><Relationship Id="rId17" Type="http://schemas.openxmlformats.org/officeDocument/2006/relationships/hyperlink" Target="#'C &#9642; Ergebnisjustierung'!A4"/><Relationship Id="rId2" Type="http://schemas.openxmlformats.org/officeDocument/2006/relationships/image" Target="../media/image1.png"/><Relationship Id="rId16" Type="http://schemas.openxmlformats.org/officeDocument/2006/relationships/hyperlink" Target="#'B &#9642; Parametereingabe'!A4"/><Relationship Id="rId20" Type="http://schemas.openxmlformats.org/officeDocument/2006/relationships/hyperlink" Target="#'E2 &#9642; Checkliste'!A4"/><Relationship Id="rId1" Type="http://schemas.openxmlformats.org/officeDocument/2006/relationships/hyperlink" Target="https://bahnstadt.de/" TargetMode="External"/><Relationship Id="rId6" Type="http://schemas.openxmlformats.org/officeDocument/2006/relationships/image" Target="../media/image4.png"/><Relationship Id="rId11" Type="http://schemas.openxmlformats.org/officeDocument/2006/relationships/hyperlink" Target="https://radparken.info/fachinformationen/bedarfs-kostenrechner" TargetMode="External"/><Relationship Id="rId5" Type="http://schemas.openxmlformats.org/officeDocument/2006/relationships/image" Target="../media/image3.png"/><Relationship Id="rId15" Type="http://schemas.openxmlformats.org/officeDocument/2006/relationships/hyperlink" Target="#'A &#9642; Bestandseingabe'!A4"/><Relationship Id="rId10" Type="http://schemas.openxmlformats.org/officeDocument/2006/relationships/image" Target="../media/image7.png"/><Relationship Id="rId19" Type="http://schemas.openxmlformats.org/officeDocument/2006/relationships/hyperlink" Target="#'E1 &#9642; Checkliste'!A4"/><Relationship Id="rId4" Type="http://schemas.openxmlformats.org/officeDocument/2006/relationships/image" Target="../media/image2.png"/><Relationship Id="rId9" Type="http://schemas.openxmlformats.org/officeDocument/2006/relationships/hyperlink" Target="https://bahnstadt.de" TargetMode="External"/><Relationship Id="rId14" Type="http://schemas.openxmlformats.org/officeDocument/2006/relationships/hyperlink" Target="#'Z&#228;hlung Bestand'!A4"/></Relationships>
</file>

<file path=xl/drawings/_rels/drawing10.xml.rels><?xml version="1.0" encoding="UTF-8" standalone="yes"?>
<Relationships xmlns="http://schemas.openxmlformats.org/package/2006/relationships"><Relationship Id="rId3" Type="http://schemas.openxmlformats.org/officeDocument/2006/relationships/hyperlink" Target="#Z_3"/><Relationship Id="rId7" Type="http://schemas.openxmlformats.org/officeDocument/2006/relationships/hyperlink" Target="#Z_7"/><Relationship Id="rId2" Type="http://schemas.openxmlformats.org/officeDocument/2006/relationships/hyperlink" Target="#Z_2"/><Relationship Id="rId1" Type="http://schemas.openxmlformats.org/officeDocument/2006/relationships/hyperlink" Target="#Z_1"/><Relationship Id="rId6" Type="http://schemas.openxmlformats.org/officeDocument/2006/relationships/hyperlink" Target="#Z_6"/><Relationship Id="rId5" Type="http://schemas.openxmlformats.org/officeDocument/2006/relationships/hyperlink" Target="#Z_5"/><Relationship Id="rId4" Type="http://schemas.openxmlformats.org/officeDocument/2006/relationships/hyperlink" Target="#Z_4"/></Relationships>
</file>

<file path=xl/drawings/_rels/drawing2.xml.rels><?xml version="1.0" encoding="UTF-8" standalone="yes"?>
<Relationships xmlns="http://schemas.openxmlformats.org/package/2006/relationships"><Relationship Id="rId8" Type="http://schemas.openxmlformats.org/officeDocument/2006/relationships/hyperlink" Target="#'A &#9642; Bestandseingabe'!A4"/><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image" Target="../media/image11.png"/><Relationship Id="rId12" Type="http://schemas.openxmlformats.org/officeDocument/2006/relationships/hyperlink" Target="#'E1 &#9642; Checklist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hyperlink" Target="#'Startseite und Basisinfos'!A4"/><Relationship Id="rId11" Type="http://schemas.openxmlformats.org/officeDocument/2006/relationships/hyperlink" Target="#'D &#9642; Kostenanalyse'!A4"/><Relationship Id="rId5" Type="http://schemas.openxmlformats.org/officeDocument/2006/relationships/image" Target="../media/image10.jpg"/><Relationship Id="rId10" Type="http://schemas.openxmlformats.org/officeDocument/2006/relationships/hyperlink" Target="#'C &#9642; Ergebnisjustierung'!A4"/><Relationship Id="rId4" Type="http://schemas.openxmlformats.org/officeDocument/2006/relationships/image" Target="../media/image2.png"/><Relationship Id="rId9" Type="http://schemas.openxmlformats.org/officeDocument/2006/relationships/hyperlink" Target="#'B &#9642; Parametereingabe'!A4"/><Relationship Id="rId14" Type="http://schemas.openxmlformats.org/officeDocument/2006/relationships/hyperlink" Target="#'F &#9642; Kurzbericht'!A4"/></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hyperlink" Target="#'Startseite und Basisinfos'!A4"/><Relationship Id="rId12" Type="http://schemas.openxmlformats.org/officeDocument/2006/relationships/hyperlink" Target="#'E1 &#9642; Checklist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image" Target="../media/image10.jpg"/><Relationship Id="rId11" Type="http://schemas.openxmlformats.org/officeDocument/2006/relationships/hyperlink" Target="#'D &#9642; Kostenanalyse'!A4"/><Relationship Id="rId5" Type="http://schemas.openxmlformats.org/officeDocument/2006/relationships/hyperlink" Target="#'B &#9642; Parametereingabe'!A4"/><Relationship Id="rId10" Type="http://schemas.openxmlformats.org/officeDocument/2006/relationships/hyperlink" Target="#'C &#9642; Ergebnisjustierung'!A4"/><Relationship Id="rId4" Type="http://schemas.openxmlformats.org/officeDocument/2006/relationships/image" Target="../media/image2.png"/><Relationship Id="rId9" Type="http://schemas.openxmlformats.org/officeDocument/2006/relationships/hyperlink" Target="#'Z&#228;hlung Bestand'!A4"/><Relationship Id="rId14" Type="http://schemas.openxmlformats.org/officeDocument/2006/relationships/hyperlink" Target="#'F &#9642; Kurzbericht'!A4"/></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hyperlink" Target="#'Startseite und Basisinfos'!A4"/><Relationship Id="rId12" Type="http://schemas.openxmlformats.org/officeDocument/2006/relationships/hyperlink" Target="#'E1 &#9642; Checklist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image" Target="../media/image10.jpg"/><Relationship Id="rId11" Type="http://schemas.openxmlformats.org/officeDocument/2006/relationships/hyperlink" Target="#'D &#9642; Kostenanalyse'!A4"/><Relationship Id="rId5" Type="http://schemas.openxmlformats.org/officeDocument/2006/relationships/hyperlink" Target="#'C &#9642; Ergebnisjustierung'!A4"/><Relationship Id="rId10" Type="http://schemas.openxmlformats.org/officeDocument/2006/relationships/hyperlink" Target="#'A &#9642; Bestandseingabe'!A4"/><Relationship Id="rId4" Type="http://schemas.openxmlformats.org/officeDocument/2006/relationships/image" Target="../media/image2.png"/><Relationship Id="rId9" Type="http://schemas.openxmlformats.org/officeDocument/2006/relationships/hyperlink" Target="#'Z&#228;hlung Bestand'!A4"/><Relationship Id="rId14" Type="http://schemas.openxmlformats.org/officeDocument/2006/relationships/hyperlink" Target="#'F &#9642; Kurzbericht'!A4"/></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hyperlink" Target="#'Startseite und Basisinfos'!A4"/><Relationship Id="rId12" Type="http://schemas.openxmlformats.org/officeDocument/2006/relationships/hyperlink" Target="#'E1 &#9642; Checklist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image" Target="../media/image10.jpg"/><Relationship Id="rId11" Type="http://schemas.openxmlformats.org/officeDocument/2006/relationships/hyperlink" Target="#'B &#9642; Parametereingabe'!A4"/><Relationship Id="rId5" Type="http://schemas.openxmlformats.org/officeDocument/2006/relationships/hyperlink" Target="#'D &#9642; Kostenanalyse'!A4"/><Relationship Id="rId10" Type="http://schemas.openxmlformats.org/officeDocument/2006/relationships/hyperlink" Target="#'A &#9642; Bestandseingabe'!A4"/><Relationship Id="rId4" Type="http://schemas.openxmlformats.org/officeDocument/2006/relationships/image" Target="../media/image2.png"/><Relationship Id="rId9" Type="http://schemas.openxmlformats.org/officeDocument/2006/relationships/hyperlink" Target="#'Z&#228;hlung Bestand'!A4"/><Relationship Id="rId14" Type="http://schemas.openxmlformats.org/officeDocument/2006/relationships/hyperlink" Target="#'F &#9642; Kurzbericht'!A4"/></Relationships>
</file>

<file path=xl/drawings/_rels/drawing6.xml.rels><?xml version="1.0" encoding="UTF-8" standalone="yes"?>
<Relationships xmlns="http://schemas.openxmlformats.org/package/2006/relationships"><Relationship Id="rId8" Type="http://schemas.openxmlformats.org/officeDocument/2006/relationships/hyperlink" Target="#'Z&#228;hlung Bestand'!A4"/><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image" Target="../media/image11.png"/><Relationship Id="rId12" Type="http://schemas.openxmlformats.org/officeDocument/2006/relationships/hyperlink" Target="#'E1 &#9642; Checklist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hyperlink" Target="#'Startseite und Basisinfos'!A4"/><Relationship Id="rId11" Type="http://schemas.openxmlformats.org/officeDocument/2006/relationships/hyperlink" Target="#'C &#9642; Ergebnisjustierung'!A4"/><Relationship Id="rId5" Type="http://schemas.openxmlformats.org/officeDocument/2006/relationships/image" Target="../media/image10.jpg"/><Relationship Id="rId10" Type="http://schemas.openxmlformats.org/officeDocument/2006/relationships/hyperlink" Target="#'B &#9642; Parametereingabe'!A4"/><Relationship Id="rId4" Type="http://schemas.openxmlformats.org/officeDocument/2006/relationships/image" Target="../media/image2.png"/><Relationship Id="rId9" Type="http://schemas.openxmlformats.org/officeDocument/2006/relationships/hyperlink" Target="#'A &#9642; Bestandseingabe'!A4"/><Relationship Id="rId14" Type="http://schemas.openxmlformats.org/officeDocument/2006/relationships/hyperlink" Target="#'F &#9642; Kurzbericht'!A4"/></Relationships>
</file>

<file path=xl/drawings/_rels/drawing7.xml.rels><?xml version="1.0" encoding="UTF-8" standalone="yes"?>
<Relationships xmlns="http://schemas.openxmlformats.org/package/2006/relationships"><Relationship Id="rId8" Type="http://schemas.openxmlformats.org/officeDocument/2006/relationships/hyperlink" Target="#'Z&#228;hlung Bestand'!A4"/><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image" Target="../media/image11.png"/><Relationship Id="rId12" Type="http://schemas.openxmlformats.org/officeDocument/2006/relationships/hyperlink" Target="#'D &#9642; Kostenanalys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hyperlink" Target="#'Startseite und Basisinfos'!A4"/><Relationship Id="rId11" Type="http://schemas.openxmlformats.org/officeDocument/2006/relationships/hyperlink" Target="#'C &#9642; Ergebnisjustierung'!A4"/><Relationship Id="rId5" Type="http://schemas.openxmlformats.org/officeDocument/2006/relationships/image" Target="../media/image10.jpg"/><Relationship Id="rId10" Type="http://schemas.openxmlformats.org/officeDocument/2006/relationships/hyperlink" Target="#'B &#9642; Parametereingabe'!A4"/><Relationship Id="rId4" Type="http://schemas.openxmlformats.org/officeDocument/2006/relationships/image" Target="../media/image2.png"/><Relationship Id="rId9" Type="http://schemas.openxmlformats.org/officeDocument/2006/relationships/hyperlink" Target="#'A &#9642; Bestandseingabe'!A4"/><Relationship Id="rId14" Type="http://schemas.openxmlformats.org/officeDocument/2006/relationships/hyperlink" Target="#'F &#9642; Kurzbericht'!A4"/></Relationships>
</file>

<file path=xl/drawings/_rels/drawing8.xml.rels><?xml version="1.0" encoding="UTF-8" standalone="yes"?>
<Relationships xmlns="http://schemas.openxmlformats.org/package/2006/relationships"><Relationship Id="rId8" Type="http://schemas.openxmlformats.org/officeDocument/2006/relationships/hyperlink" Target="#'Startseite und Basisinfos'!A4"/><Relationship Id="rId13" Type="http://schemas.openxmlformats.org/officeDocument/2006/relationships/hyperlink" Target="#'C &#9642; Ergebnisjustierung'!A4"/><Relationship Id="rId3" Type="http://schemas.openxmlformats.org/officeDocument/2006/relationships/hyperlink" Target="https://radparken.info" TargetMode="External"/><Relationship Id="rId7" Type="http://schemas.openxmlformats.org/officeDocument/2006/relationships/image" Target="../media/image12.png"/><Relationship Id="rId12" Type="http://schemas.openxmlformats.org/officeDocument/2006/relationships/hyperlink" Target="#'B &#9642; Parametereingabe'!A4"/><Relationship Id="rId2" Type="http://schemas.openxmlformats.org/officeDocument/2006/relationships/image" Target="../media/image1.png"/><Relationship Id="rId16" Type="http://schemas.openxmlformats.org/officeDocument/2006/relationships/hyperlink" Target="#'F &#9642; Kurzbericht'!A4"/><Relationship Id="rId1" Type="http://schemas.openxmlformats.org/officeDocument/2006/relationships/hyperlink" Target="https://bahnstadt.de/" TargetMode="External"/><Relationship Id="rId6" Type="http://schemas.openxmlformats.org/officeDocument/2006/relationships/hyperlink" Target="https://www.ptvgroup.com/de" TargetMode="External"/><Relationship Id="rId11" Type="http://schemas.openxmlformats.org/officeDocument/2006/relationships/hyperlink" Target="#'A &#9642; Bestandseingabe'!A4"/><Relationship Id="rId5" Type="http://schemas.openxmlformats.org/officeDocument/2006/relationships/image" Target="../media/image10.jpg"/><Relationship Id="rId15" Type="http://schemas.openxmlformats.org/officeDocument/2006/relationships/hyperlink" Target="#'E1 &#9642; Checkliste'!A4"/><Relationship Id="rId10" Type="http://schemas.openxmlformats.org/officeDocument/2006/relationships/hyperlink" Target="#'Z&#228;hlung Bestand'!A4"/><Relationship Id="rId4" Type="http://schemas.openxmlformats.org/officeDocument/2006/relationships/image" Target="../media/image2.png"/><Relationship Id="rId9" Type="http://schemas.openxmlformats.org/officeDocument/2006/relationships/image" Target="../media/image11.png"/><Relationship Id="rId14" Type="http://schemas.openxmlformats.org/officeDocument/2006/relationships/hyperlink" Target="#'D &#9642; Kostenanalyse'!A4"/></Relationships>
</file>

<file path=xl/drawings/_rels/drawing9.xml.rels><?xml version="1.0" encoding="UTF-8" standalone="yes"?>
<Relationships xmlns="http://schemas.openxmlformats.org/package/2006/relationships"><Relationship Id="rId8" Type="http://schemas.openxmlformats.org/officeDocument/2006/relationships/hyperlink" Target="#'Z&#228;hlung Bestand'!A4"/><Relationship Id="rId13" Type="http://schemas.openxmlformats.org/officeDocument/2006/relationships/hyperlink" Target="#'E1 &#9642; Checkliste'!A4"/><Relationship Id="rId3" Type="http://schemas.openxmlformats.org/officeDocument/2006/relationships/hyperlink" Target="https://radparken.info" TargetMode="External"/><Relationship Id="rId7" Type="http://schemas.openxmlformats.org/officeDocument/2006/relationships/image" Target="../media/image11.png"/><Relationship Id="rId12" Type="http://schemas.openxmlformats.org/officeDocument/2006/relationships/hyperlink" Target="#'D &#9642; Kostenanalys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hyperlink" Target="#'Startseite und Basisinfos'!A4"/><Relationship Id="rId11" Type="http://schemas.openxmlformats.org/officeDocument/2006/relationships/hyperlink" Target="#'C &#9642; Ergebnisjustierung'!A4"/><Relationship Id="rId5" Type="http://schemas.openxmlformats.org/officeDocument/2006/relationships/image" Target="../media/image10.jpg"/><Relationship Id="rId10" Type="http://schemas.openxmlformats.org/officeDocument/2006/relationships/hyperlink" Target="#'B &#9642; Parametereingabe'!A4"/><Relationship Id="rId4" Type="http://schemas.openxmlformats.org/officeDocument/2006/relationships/image" Target="../media/image2.png"/><Relationship Id="rId9" Type="http://schemas.openxmlformats.org/officeDocument/2006/relationships/hyperlink" Target="#'A &#9642; Bestandseingabe'!A4"/><Relationship Id="rId14" Type="http://schemas.openxmlformats.org/officeDocument/2006/relationships/hyperlink" Target="#'E2 &#9642; Checkliste'!A4"/></Relationships>
</file>

<file path=xl/drawings/_rels/vmlDrawing1.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271</xdr:row>
      <xdr:rowOff>136735</xdr:rowOff>
    </xdr:from>
    <xdr:to>
      <xdr:col>24</xdr:col>
      <xdr:colOff>0</xdr:colOff>
      <xdr:row>273</xdr:row>
      <xdr:rowOff>0</xdr:rowOff>
    </xdr:to>
    <xdr:grpSp>
      <xdr:nvGrpSpPr>
        <xdr:cNvPr id="17" name="Footer">
          <a:extLst>
            <a:ext uri="{FF2B5EF4-FFF2-40B4-BE49-F238E27FC236}">
              <a16:creationId xmlns:a16="http://schemas.microsoft.com/office/drawing/2014/main" id="{00000000-0008-0000-0000-000011000000}"/>
            </a:ext>
          </a:extLst>
        </xdr:cNvPr>
        <xdr:cNvGrpSpPr/>
      </xdr:nvGrpSpPr>
      <xdr:grpSpPr>
        <a:xfrm>
          <a:off x="0" y="59547335"/>
          <a:ext cx="14681200" cy="764965"/>
          <a:chOff x="0" y="58124935"/>
          <a:chExt cx="12915900" cy="768140"/>
        </a:xfrm>
      </xdr:grpSpPr>
      <xdr:sp macro="" textlink="">
        <xdr:nvSpPr>
          <xdr:cNvPr id="21" name="Spacer Footer">
            <a:extLst>
              <a:ext uri="{FF2B5EF4-FFF2-40B4-BE49-F238E27FC236}">
                <a16:creationId xmlns:a16="http://schemas.microsoft.com/office/drawing/2014/main" id="{00000000-0008-0000-0000-000015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 name="LOGO BStext">
            <a:hlinkClick xmlns:r="http://schemas.openxmlformats.org/officeDocument/2006/relationships" r:id="rId1"/>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3" name="LOGO IFP">
            <a:hlinkClick xmlns:r="http://schemas.openxmlformats.org/officeDocument/2006/relationships" r:id="rId3"/>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editAs="oneCell">
    <xdr:from>
      <xdr:col>2</xdr:col>
      <xdr:colOff>502</xdr:colOff>
      <xdr:row>99</xdr:row>
      <xdr:rowOff>1</xdr:rowOff>
    </xdr:from>
    <xdr:to>
      <xdr:col>20</xdr:col>
      <xdr:colOff>499</xdr:colOff>
      <xdr:row>155</xdr:row>
      <xdr:rowOff>201401</xdr:rowOff>
    </xdr:to>
    <xdr:pic>
      <xdr:nvPicPr>
        <xdr:cNvPr id="4" name="Grafik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5"/>
        <a:srcRect/>
        <a:stretch/>
      </xdr:blipFill>
      <xdr:spPr>
        <a:xfrm>
          <a:off x="362452" y="19002376"/>
          <a:ext cx="11658597" cy="13003000"/>
        </a:xfrm>
        <a:prstGeom prst="rect">
          <a:avLst/>
        </a:prstGeom>
      </xdr:spPr>
    </xdr:pic>
    <xdr:clientData/>
  </xdr:twoCellAnchor>
  <xdr:twoCellAnchor editAs="oneCell">
    <xdr:from>
      <xdr:col>2</xdr:col>
      <xdr:colOff>0</xdr:colOff>
      <xdr:row>168</xdr:row>
      <xdr:rowOff>0</xdr:rowOff>
    </xdr:from>
    <xdr:to>
      <xdr:col>20</xdr:col>
      <xdr:colOff>1001</xdr:colOff>
      <xdr:row>190</xdr:row>
      <xdr:rowOff>142124</xdr:rowOff>
    </xdr:to>
    <xdr:pic>
      <xdr:nvPicPr>
        <xdr:cNvPr id="25" name="Grafik 2">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6"/>
        <a:srcRect/>
        <a:stretch/>
      </xdr:blipFill>
      <xdr:spPr>
        <a:xfrm>
          <a:off x="361950" y="31118175"/>
          <a:ext cx="11659601" cy="5171324"/>
        </a:xfrm>
        <a:prstGeom prst="rect">
          <a:avLst/>
        </a:prstGeom>
      </xdr:spPr>
    </xdr:pic>
    <xdr:clientData/>
  </xdr:twoCellAnchor>
  <xdr:twoCellAnchor editAs="oneCell">
    <xdr:from>
      <xdr:col>2</xdr:col>
      <xdr:colOff>501</xdr:colOff>
      <xdr:row>195</xdr:row>
      <xdr:rowOff>0</xdr:rowOff>
    </xdr:from>
    <xdr:to>
      <xdr:col>20</xdr:col>
      <xdr:colOff>499</xdr:colOff>
      <xdr:row>267</xdr:row>
      <xdr:rowOff>200877</xdr:rowOff>
    </xdr:to>
    <xdr:pic>
      <xdr:nvPicPr>
        <xdr:cNvPr id="5" name="Grafik 3">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7"/>
        <a:srcRect/>
        <a:stretch/>
      </xdr:blipFill>
      <xdr:spPr>
        <a:xfrm>
          <a:off x="362451" y="40586025"/>
          <a:ext cx="11658598" cy="16660077"/>
        </a:xfrm>
        <a:prstGeom prst="rect">
          <a:avLst/>
        </a:prstGeom>
      </xdr:spPr>
    </xdr:pic>
    <xdr:clientData/>
  </xdr:twoCellAnchor>
  <xdr:twoCellAnchor editAs="oneCell">
    <xdr:from>
      <xdr:col>2</xdr:col>
      <xdr:colOff>41214</xdr:colOff>
      <xdr:row>74</xdr:row>
      <xdr:rowOff>10678</xdr:rowOff>
    </xdr:from>
    <xdr:to>
      <xdr:col>11</xdr:col>
      <xdr:colOff>464634</xdr:colOff>
      <xdr:row>79</xdr:row>
      <xdr:rowOff>200025</xdr:rowOff>
    </xdr:to>
    <xdr:grpSp>
      <xdr:nvGrpSpPr>
        <xdr:cNvPr id="83" name="Navigation Legende">
          <a:extLst>
            <a:ext uri="{FF2B5EF4-FFF2-40B4-BE49-F238E27FC236}">
              <a16:creationId xmlns:a16="http://schemas.microsoft.com/office/drawing/2014/main" id="{00000000-0008-0000-0000-000053000000}"/>
            </a:ext>
          </a:extLst>
        </xdr:cNvPr>
        <xdr:cNvGrpSpPr/>
      </xdr:nvGrpSpPr>
      <xdr:grpSpPr>
        <a:xfrm>
          <a:off x="447614" y="14501378"/>
          <a:ext cx="7052820" cy="1573647"/>
          <a:chOff x="403629" y="13452312"/>
          <a:chExt cx="6235993" cy="1492881"/>
        </a:xfrm>
      </xdr:grpSpPr>
      <xdr:sp macro="" textlink="">
        <xdr:nvSpPr>
          <xdr:cNvPr id="51" name="Arrow: Bent 50">
            <a:extLst>
              <a:ext uri="{FF2B5EF4-FFF2-40B4-BE49-F238E27FC236}">
                <a16:creationId xmlns:a16="http://schemas.microsoft.com/office/drawing/2014/main" id="{00000000-0008-0000-0000-000033000000}"/>
              </a:ext>
            </a:extLst>
          </xdr:cNvPr>
          <xdr:cNvSpPr/>
        </xdr:nvSpPr>
        <xdr:spPr>
          <a:xfrm rot="16200000">
            <a:off x="1023767" y="13493113"/>
            <a:ext cx="857306" cy="1636705"/>
          </a:xfrm>
          <a:prstGeom prst="bentArrow">
            <a:avLst>
              <a:gd name="adj1" fmla="val 12813"/>
              <a:gd name="adj2" fmla="val 16977"/>
              <a:gd name="adj3" fmla="val 21761"/>
              <a:gd name="adj4" fmla="val 30616"/>
            </a:avLst>
          </a:prstGeom>
          <a:solidFill>
            <a:schemeClr val="bg2">
              <a:lumMod val="40000"/>
              <a:lumOff val="60000"/>
            </a:schemeClr>
          </a:solidFill>
          <a:ln w="6350">
            <a:solidFill>
              <a:schemeClr val="accent3">
                <a:lumMod val="75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de-DE" sz="1100">
              <a:solidFill>
                <a:schemeClr val="tx1"/>
              </a:solidFill>
            </a:endParaRPr>
          </a:p>
        </xdr:txBody>
      </xdr:sp>
      <xdr:sp macro="" textlink="">
        <xdr:nvSpPr>
          <xdr:cNvPr id="28" name="Arrow: Bent 27">
            <a:extLst>
              <a:ext uri="{FF2B5EF4-FFF2-40B4-BE49-F238E27FC236}">
                <a16:creationId xmlns:a16="http://schemas.microsoft.com/office/drawing/2014/main" id="{00000000-0008-0000-0000-00001C000000}"/>
              </a:ext>
            </a:extLst>
          </xdr:cNvPr>
          <xdr:cNvSpPr/>
        </xdr:nvSpPr>
        <xdr:spPr>
          <a:xfrm rot="16200000">
            <a:off x="737174" y="13407933"/>
            <a:ext cx="1203715" cy="1870805"/>
          </a:xfrm>
          <a:prstGeom prst="bentArrow">
            <a:avLst>
              <a:gd name="adj1" fmla="val 9408"/>
              <a:gd name="adj2" fmla="val 12027"/>
              <a:gd name="adj3" fmla="val 17018"/>
              <a:gd name="adj4" fmla="val 39878"/>
            </a:avLst>
          </a:prstGeom>
          <a:solidFill>
            <a:schemeClr val="bg2">
              <a:lumMod val="40000"/>
              <a:lumOff val="60000"/>
            </a:schemeClr>
          </a:solidFill>
          <a:ln w="6350">
            <a:solidFill>
              <a:schemeClr val="accent3">
                <a:lumMod val="75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de-DE" sz="1100">
              <a:solidFill>
                <a:schemeClr val="tx1"/>
              </a:solidFill>
            </a:endParaRPr>
          </a:p>
        </xdr:txBody>
      </xdr:sp>
      <xdr:sp macro="" textlink="">
        <xdr:nvSpPr>
          <xdr:cNvPr id="29" name="Arrow: Up 28">
            <a:extLst>
              <a:ext uri="{FF2B5EF4-FFF2-40B4-BE49-F238E27FC236}">
                <a16:creationId xmlns:a16="http://schemas.microsoft.com/office/drawing/2014/main" id="{00000000-0008-0000-0000-00001D000000}"/>
              </a:ext>
            </a:extLst>
          </xdr:cNvPr>
          <xdr:cNvSpPr/>
        </xdr:nvSpPr>
        <xdr:spPr>
          <a:xfrm>
            <a:off x="2420990" y="13945078"/>
            <a:ext cx="265741"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Arrow: Up 29">
            <a:extLst>
              <a:ext uri="{FF2B5EF4-FFF2-40B4-BE49-F238E27FC236}">
                <a16:creationId xmlns:a16="http://schemas.microsoft.com/office/drawing/2014/main" id="{00000000-0008-0000-0000-00001E000000}"/>
              </a:ext>
            </a:extLst>
          </xdr:cNvPr>
          <xdr:cNvSpPr/>
        </xdr:nvSpPr>
        <xdr:spPr>
          <a:xfrm>
            <a:off x="3280394" y="13945078"/>
            <a:ext cx="265741"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2" name="Arrow: Up 31">
            <a:extLst>
              <a:ext uri="{FF2B5EF4-FFF2-40B4-BE49-F238E27FC236}">
                <a16:creationId xmlns:a16="http://schemas.microsoft.com/office/drawing/2014/main" id="{00000000-0008-0000-0000-000020000000}"/>
              </a:ext>
            </a:extLst>
          </xdr:cNvPr>
          <xdr:cNvSpPr/>
        </xdr:nvSpPr>
        <xdr:spPr>
          <a:xfrm rot="20172340">
            <a:off x="1559469" y="13974237"/>
            <a:ext cx="267858"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3" name="Arrow: Up 32">
            <a:extLst>
              <a:ext uri="{FF2B5EF4-FFF2-40B4-BE49-F238E27FC236}">
                <a16:creationId xmlns:a16="http://schemas.microsoft.com/office/drawing/2014/main" id="{00000000-0008-0000-0000-000021000000}"/>
              </a:ext>
            </a:extLst>
          </xdr:cNvPr>
          <xdr:cNvSpPr/>
        </xdr:nvSpPr>
        <xdr:spPr>
          <a:xfrm rot="1427660" flipH="1">
            <a:off x="5859608" y="13974237"/>
            <a:ext cx="266858"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77" name="Arrow: Up 76">
            <a:extLst>
              <a:ext uri="{FF2B5EF4-FFF2-40B4-BE49-F238E27FC236}">
                <a16:creationId xmlns:a16="http://schemas.microsoft.com/office/drawing/2014/main" id="{00000000-0008-0000-0000-00004D000000}"/>
              </a:ext>
            </a:extLst>
          </xdr:cNvPr>
          <xdr:cNvSpPr/>
        </xdr:nvSpPr>
        <xdr:spPr>
          <a:xfrm>
            <a:off x="4139798" y="13945078"/>
            <a:ext cx="266740"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78" name="Arrow: Up 77">
            <a:extLst>
              <a:ext uri="{FF2B5EF4-FFF2-40B4-BE49-F238E27FC236}">
                <a16:creationId xmlns:a16="http://schemas.microsoft.com/office/drawing/2014/main" id="{00000000-0008-0000-0000-00004E000000}"/>
              </a:ext>
            </a:extLst>
          </xdr:cNvPr>
          <xdr:cNvSpPr/>
        </xdr:nvSpPr>
        <xdr:spPr>
          <a:xfrm>
            <a:off x="5000202" y="13945078"/>
            <a:ext cx="265741"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43" name="Navbar Home Legende">
            <a:extLst>
              <a:ext uri="{FF2B5EF4-FFF2-40B4-BE49-F238E27FC236}">
                <a16:creationId xmlns:a16="http://schemas.microsoft.com/office/drawing/2014/main" id="{00000000-0008-0000-0000-00002B000000}"/>
              </a:ext>
            </a:extLst>
          </xdr:cNvPr>
          <xdr:cNvGrpSpPr/>
        </xdr:nvGrpSpPr>
        <xdr:grpSpPr>
          <a:xfrm>
            <a:off x="413525" y="13452312"/>
            <a:ext cx="6226097" cy="173766"/>
            <a:chOff x="363028" y="1679368"/>
            <a:chExt cx="9656717" cy="270965"/>
          </a:xfrm>
        </xdr:grpSpPr>
        <xdr:sp macro="" textlink="">
          <xdr:nvSpPr>
            <xdr:cNvPr id="44" name="0 Home-Button">
              <a:extLst>
                <a:ext uri="{FF2B5EF4-FFF2-40B4-BE49-F238E27FC236}">
                  <a16:creationId xmlns:a16="http://schemas.microsoft.com/office/drawing/2014/main" id="{00000000-0008-0000-0000-00002C000000}"/>
                </a:ext>
              </a:extLst>
            </xdr:cNvPr>
            <xdr:cNvSpPr/>
          </xdr:nvSpPr>
          <xdr:spPr>
            <a:xfrm>
              <a:off x="363028" y="1679368"/>
              <a:ext cx="1949328" cy="269234"/>
            </a:xfrm>
            <a:prstGeom prst="round2SameRect">
              <a:avLst>
                <a:gd name="adj1" fmla="val 50000"/>
                <a:gd name="adj2" fmla="val 0"/>
              </a:avLst>
            </a:prstGeom>
            <a:solidFill>
              <a:schemeClr val="accent3">
                <a:lumMod val="75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45" name="Home-Button-white">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8"/>
            <a:srcRect/>
            <a:stretch/>
          </xdr:blipFill>
          <xdr:spPr>
            <a:xfrm>
              <a:off x="455014" y="1736489"/>
              <a:ext cx="215823" cy="173643"/>
            </a:xfrm>
            <a:prstGeom prst="rect">
              <a:avLst/>
            </a:prstGeom>
          </xdr:spPr>
        </xdr:pic>
        <xdr:sp macro="" textlink="">
          <xdr:nvSpPr>
            <xdr:cNvPr id="46" name="00 Bestansaufnahme">
              <a:extLst>
                <a:ext uri="{FF2B5EF4-FFF2-40B4-BE49-F238E27FC236}">
                  <a16:creationId xmlns:a16="http://schemas.microsoft.com/office/drawing/2014/main" id="{00000000-0008-0000-0000-00002E000000}"/>
                </a:ext>
              </a:extLst>
            </xdr:cNvPr>
            <xdr:cNvSpPr/>
          </xdr:nvSpPr>
          <xdr:spPr>
            <a:xfrm>
              <a:off x="745408" y="1679368"/>
              <a:ext cx="1947786" cy="269234"/>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47" name="123 Bestandsaufnahme">
              <a:extLst>
                <a:ext uri="{FF2B5EF4-FFF2-40B4-BE49-F238E27FC236}">
                  <a16:creationId xmlns:a16="http://schemas.microsoft.com/office/drawing/2014/main" id="{00000000-0008-0000-0000-00002F000000}"/>
                </a:ext>
              </a:extLst>
            </xdr:cNvPr>
            <xdr:cNvSpPr txBox="1"/>
          </xdr:nvSpPr>
          <xdr:spPr>
            <a:xfrm>
              <a:off x="790664" y="1732683"/>
              <a:ext cx="276212" cy="194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800" b="0" i="1">
                  <a:solidFill>
                    <a:schemeClr val="accent3">
                      <a:lumMod val="50000"/>
                    </a:schemeClr>
                  </a:solidFill>
                </a:rPr>
                <a:t>123</a:t>
              </a:r>
            </a:p>
          </xdr:txBody>
        </xdr:sp>
        <xdr:sp macro="" textlink="">
          <xdr:nvSpPr>
            <xdr:cNvPr id="48" name="A Bestandseingabe">
              <a:extLst>
                <a:ext uri="{FF2B5EF4-FFF2-40B4-BE49-F238E27FC236}">
                  <a16:creationId xmlns:a16="http://schemas.microsoft.com/office/drawing/2014/main" id="{00000000-0008-0000-0000-000030000000}"/>
                </a:ext>
              </a:extLst>
            </xdr:cNvPr>
            <xdr:cNvSpPr/>
          </xdr:nvSpPr>
          <xdr:spPr>
            <a:xfrm>
              <a:off x="1097884" y="1679368"/>
              <a:ext cx="1841609"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A ▪</a:t>
              </a:r>
              <a:r>
                <a:rPr lang="de-DE" sz="800" b="0" baseline="0">
                  <a:solidFill>
                    <a:schemeClr val="accent3">
                      <a:lumMod val="50000"/>
                    </a:schemeClr>
                  </a:solidFill>
                  <a:effectLst/>
                  <a:latin typeface="+mn-lt"/>
                  <a:ea typeface="+mn-ea"/>
                  <a:cs typeface="+mn-cs"/>
                </a:rPr>
                <a:t> </a:t>
              </a:r>
              <a:r>
                <a:rPr lang="de-DE" sz="800" b="0">
                  <a:solidFill>
                    <a:schemeClr val="accent3">
                      <a:lumMod val="50000"/>
                    </a:schemeClr>
                  </a:solidFill>
                  <a:effectLst/>
                  <a:latin typeface="+mn-lt"/>
                  <a:ea typeface="+mn-ea"/>
                  <a:cs typeface="+mn-cs"/>
                </a:rPr>
                <a:t>Bestandseingabe</a:t>
              </a:r>
              <a:endParaRPr lang="de-DE" sz="800" b="0">
                <a:solidFill>
                  <a:schemeClr val="accent3">
                    <a:lumMod val="50000"/>
                  </a:schemeClr>
                </a:solidFill>
                <a:effectLst/>
              </a:endParaRPr>
            </a:p>
          </xdr:txBody>
        </xdr:sp>
        <xdr:sp macro="" textlink="">
          <xdr:nvSpPr>
            <xdr:cNvPr id="49" name="B Parametereingabe">
              <a:extLst>
                <a:ext uri="{FF2B5EF4-FFF2-40B4-BE49-F238E27FC236}">
                  <a16:creationId xmlns:a16="http://schemas.microsoft.com/office/drawing/2014/main" id="{00000000-0008-0000-0000-000031000000}"/>
                </a:ext>
              </a:extLst>
            </xdr:cNvPr>
            <xdr:cNvSpPr/>
          </xdr:nvSpPr>
          <xdr:spPr>
            <a:xfrm>
              <a:off x="2599649" y="1679368"/>
              <a:ext cx="1982374"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B ▪ Parametereingabe</a:t>
              </a:r>
              <a:endParaRPr lang="de-DE" sz="800" b="0">
                <a:solidFill>
                  <a:schemeClr val="accent3">
                    <a:lumMod val="50000"/>
                  </a:schemeClr>
                </a:solidFill>
                <a:effectLst/>
              </a:endParaRPr>
            </a:p>
          </xdr:txBody>
        </xdr:sp>
        <xdr:sp macro="" textlink="">
          <xdr:nvSpPr>
            <xdr:cNvPr id="56" name="C Ergebnisjustierung">
              <a:extLst>
                <a:ext uri="{FF2B5EF4-FFF2-40B4-BE49-F238E27FC236}">
                  <a16:creationId xmlns:a16="http://schemas.microsoft.com/office/drawing/2014/main" id="{00000000-0008-0000-0000-000038000000}"/>
                </a:ext>
              </a:extLst>
            </xdr:cNvPr>
            <xdr:cNvSpPr/>
          </xdr:nvSpPr>
          <xdr:spPr>
            <a:xfrm>
              <a:off x="4190648" y="1679368"/>
              <a:ext cx="1914547"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C ▪ Ergebnisjustierung</a:t>
              </a:r>
              <a:endParaRPr lang="de-DE" sz="800" b="0">
                <a:solidFill>
                  <a:schemeClr val="accent3">
                    <a:lumMod val="50000"/>
                  </a:schemeClr>
                </a:solidFill>
                <a:effectLst/>
              </a:endParaRPr>
            </a:p>
          </xdr:txBody>
        </xdr:sp>
        <xdr:sp macro="" textlink="">
          <xdr:nvSpPr>
            <xdr:cNvPr id="79" name="D Kostenanalyse">
              <a:extLst>
                <a:ext uri="{FF2B5EF4-FFF2-40B4-BE49-F238E27FC236}">
                  <a16:creationId xmlns:a16="http://schemas.microsoft.com/office/drawing/2014/main" id="{00000000-0008-0000-0000-00004F000000}"/>
                </a:ext>
              </a:extLst>
            </xdr:cNvPr>
            <xdr:cNvSpPr/>
          </xdr:nvSpPr>
          <xdr:spPr>
            <a:xfrm>
              <a:off x="5789196" y="1679368"/>
              <a:ext cx="1600997"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D ▪ Kostenanalyse</a:t>
              </a:r>
              <a:endParaRPr lang="de-DE" sz="800" b="0">
                <a:solidFill>
                  <a:schemeClr val="accent3">
                    <a:lumMod val="50000"/>
                  </a:schemeClr>
                </a:solidFill>
                <a:effectLst/>
              </a:endParaRPr>
            </a:p>
          </xdr:txBody>
        </xdr:sp>
        <xdr:sp macro="" textlink="">
          <xdr:nvSpPr>
            <xdr:cNvPr id="80" name="E1 Checklisten">
              <a:extLst>
                <a:ext uri="{FF2B5EF4-FFF2-40B4-BE49-F238E27FC236}">
                  <a16:creationId xmlns:a16="http://schemas.microsoft.com/office/drawing/2014/main" id="{00000000-0008-0000-0000-000050000000}"/>
                </a:ext>
              </a:extLst>
            </xdr:cNvPr>
            <xdr:cNvSpPr/>
          </xdr:nvSpPr>
          <xdr:spPr>
            <a:xfrm>
              <a:off x="7114387" y="1679368"/>
              <a:ext cx="997234"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E1  </a:t>
              </a:r>
              <a:r>
                <a:rPr lang="de-DE" sz="800" b="1">
                  <a:solidFill>
                    <a:schemeClr val="accent3">
                      <a:lumMod val="50000"/>
                    </a:schemeClr>
                  </a:solidFill>
                  <a:effectLst/>
                  <a:latin typeface="+mn-lt"/>
                  <a:ea typeface="+mn-ea"/>
                  <a:cs typeface="+mn-cs"/>
                </a:rPr>
                <a:t>+</a:t>
              </a:r>
              <a:r>
                <a:rPr lang="de-DE" sz="800" b="0">
                  <a:solidFill>
                    <a:schemeClr val="accent3">
                      <a:lumMod val="50000"/>
                    </a:schemeClr>
                  </a:solidFill>
                  <a:effectLst/>
                  <a:latin typeface="+mn-lt"/>
                  <a:ea typeface="+mn-ea"/>
                  <a:cs typeface="+mn-cs"/>
                </a:rPr>
                <a:t> </a:t>
              </a:r>
              <a:endParaRPr lang="de-DE" sz="800" b="0">
                <a:solidFill>
                  <a:schemeClr val="accent3">
                    <a:lumMod val="50000"/>
                  </a:schemeClr>
                </a:solidFill>
                <a:effectLst/>
              </a:endParaRPr>
            </a:p>
          </xdr:txBody>
        </xdr:sp>
        <xdr:sp macro="" textlink="">
          <xdr:nvSpPr>
            <xdr:cNvPr id="81" name="E2 Checklisten">
              <a:extLst>
                <a:ext uri="{FF2B5EF4-FFF2-40B4-BE49-F238E27FC236}">
                  <a16:creationId xmlns:a16="http://schemas.microsoft.com/office/drawing/2014/main" id="{00000000-0008-0000-0000-000051000000}"/>
                </a:ext>
              </a:extLst>
            </xdr:cNvPr>
            <xdr:cNvSpPr/>
          </xdr:nvSpPr>
          <xdr:spPr>
            <a:xfrm>
              <a:off x="7635178" y="1679683"/>
              <a:ext cx="1466008" cy="269234"/>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E2 ▪ Checklisten</a:t>
              </a:r>
              <a:endParaRPr lang="de-DE" sz="800" b="0">
                <a:solidFill>
                  <a:schemeClr val="accent3">
                    <a:lumMod val="50000"/>
                  </a:schemeClr>
                </a:solidFill>
                <a:effectLst/>
              </a:endParaRPr>
            </a:p>
          </xdr:txBody>
        </xdr:sp>
        <xdr:sp macro="" textlink="">
          <xdr:nvSpPr>
            <xdr:cNvPr id="82" name="F Kurzbericht">
              <a:extLst>
                <a:ext uri="{FF2B5EF4-FFF2-40B4-BE49-F238E27FC236}">
                  <a16:creationId xmlns:a16="http://schemas.microsoft.com/office/drawing/2014/main" id="{00000000-0008-0000-0000-000052000000}"/>
                </a:ext>
              </a:extLst>
            </xdr:cNvPr>
            <xdr:cNvSpPr/>
          </xdr:nvSpPr>
          <xdr:spPr>
            <a:xfrm>
              <a:off x="8842479" y="1679368"/>
              <a:ext cx="1177266"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F ▪ Kurzbericht</a:t>
              </a:r>
              <a:endParaRPr lang="de-DE" sz="800" b="0">
                <a:solidFill>
                  <a:schemeClr val="accent3">
                    <a:lumMod val="50000"/>
                  </a:schemeClr>
                </a:solidFill>
                <a:effectLst/>
              </a:endParaRPr>
            </a:p>
          </xdr:txBody>
        </xdr:sp>
      </xdr:grpSp>
    </xdr:grpSp>
    <xdr:clientData/>
  </xdr:twoCellAnchor>
  <xdr:twoCellAnchor>
    <xdr:from>
      <xdr:col>16</xdr:col>
      <xdr:colOff>496231</xdr:colOff>
      <xdr:row>77</xdr:row>
      <xdr:rowOff>210559</xdr:rowOff>
    </xdr:from>
    <xdr:to>
      <xdr:col>19</xdr:col>
      <xdr:colOff>147888</xdr:colOff>
      <xdr:row>79</xdr:row>
      <xdr:rowOff>0</xdr:rowOff>
    </xdr:to>
    <xdr:pic>
      <xdr:nvPicPr>
        <xdr:cNvPr id="57" name="LOGO BS">
          <a:hlinkClick xmlns:r="http://schemas.openxmlformats.org/officeDocument/2006/relationships" r:id="rId9"/>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rcRect/>
        <a:stretch/>
      </xdr:blipFill>
      <xdr:spPr>
        <a:xfrm>
          <a:off x="9910942" y="14648454"/>
          <a:ext cx="1591749" cy="250651"/>
        </a:xfrm>
        <a:prstGeom prst="rect">
          <a:avLst/>
        </a:prstGeom>
      </xdr:spPr>
    </xdr:pic>
    <xdr:clientData/>
  </xdr:twoCellAnchor>
  <xdr:twoCellAnchor editAs="oneCell">
    <xdr:from>
      <xdr:col>17</xdr:col>
      <xdr:colOff>0</xdr:colOff>
      <xdr:row>69</xdr:row>
      <xdr:rowOff>0</xdr:rowOff>
    </xdr:from>
    <xdr:to>
      <xdr:col>20</xdr:col>
      <xdr:colOff>296</xdr:colOff>
      <xdr:row>70</xdr:row>
      <xdr:rowOff>1451</xdr:rowOff>
    </xdr:to>
    <xdr:sp macro="" textlink="">
      <xdr:nvSpPr>
        <xdr:cNvPr id="27" name="Button Aktualisierung">
          <a:hlinkClick xmlns:r="http://schemas.openxmlformats.org/officeDocument/2006/relationships" r:id="rId11" tooltip="Download-Seite für dieses Planungstool wird im Browser geöffnet."/>
          <a:extLst>
            <a:ext uri="{FF2B5EF4-FFF2-40B4-BE49-F238E27FC236}">
              <a16:creationId xmlns:a16="http://schemas.microsoft.com/office/drawing/2014/main" id="{00000000-0008-0000-0000-00001B000000}"/>
            </a:ext>
          </a:extLst>
        </xdr:cNvPr>
        <xdr:cNvSpPr/>
      </xdr:nvSpPr>
      <xdr:spPr>
        <a:xfrm>
          <a:off x="10077450" y="9944100"/>
          <a:ext cx="1943100" cy="230051"/>
        </a:xfrm>
        <a:prstGeom prst="roundRect">
          <a:avLst/>
        </a:prstGeom>
        <a:solidFill>
          <a:schemeClr val="bg2">
            <a:lumMod val="40000"/>
            <a:lumOff val="60000"/>
          </a:schemeClr>
        </a:solidFill>
        <a:ln>
          <a:solidFill>
            <a:schemeClr val="bg2">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tIns="0" rIns="0" bIns="0" rtlCol="0" anchor="ctr" anchorCtr="0"/>
        <a:lstStyle/>
        <a:p>
          <a:pPr algn="ctr"/>
          <a:r>
            <a:rPr lang="de-DE" sz="1100">
              <a:solidFill>
                <a:schemeClr val="bg2">
                  <a:lumMod val="75000"/>
                </a:schemeClr>
              </a:solidFill>
              <a:effectLst/>
            </a:rPr>
            <a:t>Auf Aktualisierung prüfen</a:t>
          </a:r>
        </a:p>
      </xdr:txBody>
    </xdr:sp>
    <xdr:clientData/>
  </xdr:twoCellAnchor>
  <xdr:twoCellAnchor editAs="oneCell">
    <xdr:from>
      <xdr:col>17</xdr:col>
      <xdr:colOff>0</xdr:colOff>
      <xdr:row>64</xdr:row>
      <xdr:rowOff>0</xdr:rowOff>
    </xdr:from>
    <xdr:to>
      <xdr:col>20</xdr:col>
      <xdr:colOff>296</xdr:colOff>
      <xdr:row>65</xdr:row>
      <xdr:rowOff>865</xdr:rowOff>
    </xdr:to>
    <xdr:sp macro="" textlink="">
      <xdr:nvSpPr>
        <xdr:cNvPr id="31" name="Button Wirkungsrechner">
          <a:hlinkClick xmlns:r="http://schemas.openxmlformats.org/officeDocument/2006/relationships" r:id="rId12" tooltip="Webseite mit dem Online-Wirkungsrechner wird im Browser geöffnet."/>
          <a:extLst>
            <a:ext uri="{FF2B5EF4-FFF2-40B4-BE49-F238E27FC236}">
              <a16:creationId xmlns:a16="http://schemas.microsoft.com/office/drawing/2014/main" id="{00000000-0008-0000-0000-00001F000000}"/>
            </a:ext>
          </a:extLst>
        </xdr:cNvPr>
        <xdr:cNvSpPr/>
      </xdr:nvSpPr>
      <xdr:spPr>
        <a:xfrm>
          <a:off x="10077450" y="9010650"/>
          <a:ext cx="1943100" cy="229465"/>
        </a:xfrm>
        <a:prstGeom prst="roundRect">
          <a:avLst/>
        </a:prstGeom>
        <a:solidFill>
          <a:schemeClr val="bg2">
            <a:lumMod val="40000"/>
            <a:lumOff val="60000"/>
          </a:schemeClr>
        </a:solidFill>
        <a:ln>
          <a:solidFill>
            <a:schemeClr val="bg2">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tIns="0" rIns="0" bIns="0" rtlCol="0" anchor="ctr" anchorCtr="0"/>
        <a:lstStyle/>
        <a:p>
          <a:pPr algn="ctr"/>
          <a:r>
            <a:rPr lang="de-DE" sz="1100">
              <a:solidFill>
                <a:schemeClr val="bg2">
                  <a:lumMod val="75000"/>
                </a:schemeClr>
              </a:solidFill>
              <a:effectLst/>
            </a:rPr>
            <a:t>Wirkungsrechner</a:t>
          </a:r>
        </a:p>
      </xdr:txBody>
    </xdr:sp>
    <xdr:clientData/>
  </xdr:twoCellAnchor>
  <xdr:twoCellAnchor editAs="oneCell">
    <xdr:from>
      <xdr:col>17</xdr:col>
      <xdr:colOff>0</xdr:colOff>
      <xdr:row>23</xdr:row>
      <xdr:rowOff>0</xdr:rowOff>
    </xdr:from>
    <xdr:to>
      <xdr:col>20</xdr:col>
      <xdr:colOff>296</xdr:colOff>
      <xdr:row>24</xdr:row>
      <xdr:rowOff>1451</xdr:rowOff>
    </xdr:to>
    <xdr:sp macro="" textlink="">
      <xdr:nvSpPr>
        <xdr:cNvPr id="34" name="Button Kontakt">
          <a:hlinkClick xmlns:r="http://schemas.openxmlformats.org/officeDocument/2006/relationships" r:id="rId13" tooltip="Kontakt-Seite der Infostelle Fahrradparken am Bahnhof wird im Browser geöffnet."/>
          <a:extLst>
            <a:ext uri="{FF2B5EF4-FFF2-40B4-BE49-F238E27FC236}">
              <a16:creationId xmlns:a16="http://schemas.microsoft.com/office/drawing/2014/main" id="{00000000-0008-0000-0000-000022000000}"/>
            </a:ext>
          </a:extLst>
        </xdr:cNvPr>
        <xdr:cNvSpPr/>
      </xdr:nvSpPr>
      <xdr:spPr>
        <a:xfrm>
          <a:off x="10077450" y="3771900"/>
          <a:ext cx="1943100" cy="228600"/>
        </a:xfrm>
        <a:prstGeom prst="roundRect">
          <a:avLst/>
        </a:prstGeom>
        <a:solidFill>
          <a:schemeClr val="bg2">
            <a:lumMod val="40000"/>
            <a:lumOff val="60000"/>
          </a:schemeClr>
        </a:solidFill>
        <a:ln>
          <a:solidFill>
            <a:schemeClr val="bg2">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tIns="0" rIns="0" bIns="0" rtlCol="0" anchor="ctr" anchorCtr="0"/>
        <a:lstStyle/>
        <a:p>
          <a:pPr algn="ctr"/>
          <a:r>
            <a:rPr lang="de-DE" sz="1100">
              <a:solidFill>
                <a:schemeClr val="bg2">
                  <a:lumMod val="75000"/>
                </a:schemeClr>
              </a:solidFill>
              <a:effectLst/>
            </a:rPr>
            <a:t>Kontakt zur</a:t>
          </a:r>
          <a:r>
            <a:rPr lang="de-DE" sz="1100" baseline="0">
              <a:solidFill>
                <a:schemeClr val="bg2">
                  <a:lumMod val="75000"/>
                </a:schemeClr>
              </a:solidFill>
              <a:effectLst/>
            </a:rPr>
            <a:t> Infostelle</a:t>
          </a:r>
          <a:endParaRPr lang="de-DE" sz="1100">
            <a:solidFill>
              <a:schemeClr val="bg2">
                <a:lumMod val="75000"/>
              </a:schemeClr>
            </a:solidFill>
            <a:effectLst/>
          </a:endParaRPr>
        </a:p>
      </xdr:txBody>
    </xdr:sp>
    <xdr:clientData/>
  </xdr:twoCellAnchor>
  <xdr:twoCellAnchor editAs="absolute">
    <xdr:from>
      <xdr:col>23</xdr:col>
      <xdr:colOff>359</xdr:colOff>
      <xdr:row>5</xdr:row>
      <xdr:rowOff>170089</xdr:rowOff>
    </xdr:from>
    <xdr:to>
      <xdr:col>24</xdr:col>
      <xdr:colOff>0</xdr:colOff>
      <xdr:row>10</xdr:row>
      <xdr:rowOff>107518</xdr:rowOff>
    </xdr:to>
    <xdr:sp macro="" textlink="">
      <xdr:nvSpPr>
        <xdr:cNvPr id="50" name="Spacer">
          <a:extLst>
            <a:ext uri="{FF2B5EF4-FFF2-40B4-BE49-F238E27FC236}">
              <a16:creationId xmlns:a16="http://schemas.microsoft.com/office/drawing/2014/main" id="{00000000-0008-0000-0000-000032000000}"/>
            </a:ext>
          </a:extLst>
        </xdr:cNvPr>
        <xdr:cNvSpPr/>
      </xdr:nvSpPr>
      <xdr:spPr>
        <a:xfrm>
          <a:off x="12439650" y="1219200"/>
          <a:ext cx="47625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53" name="Spacer">
          <a:extLst>
            <a:ext uri="{FF2B5EF4-FFF2-40B4-BE49-F238E27FC236}">
              <a16:creationId xmlns:a16="http://schemas.microsoft.com/office/drawing/2014/main" id="{00000000-0008-0000-0000-000035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16</xdr:col>
      <xdr:colOff>605357</xdr:colOff>
      <xdr:row>3</xdr:row>
      <xdr:rowOff>118350</xdr:rowOff>
    </xdr:from>
    <xdr:to>
      <xdr:col>20</xdr:col>
      <xdr:colOff>296</xdr:colOff>
      <xdr:row>5</xdr:row>
      <xdr:rowOff>35379</xdr:rowOff>
    </xdr:to>
    <xdr:pic>
      <xdr:nvPicPr>
        <xdr:cNvPr id="3" name="LOGO IFP">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10018098" y="689850"/>
          <a:ext cx="1980000" cy="393279"/>
        </a:xfrm>
        <a:prstGeom prst="rect">
          <a:avLst/>
        </a:prstGeom>
      </xdr:spPr>
    </xdr:pic>
    <xdr:clientData/>
  </xdr:twoCellAnchor>
  <xdr:twoCellAnchor editAs="absolute">
    <xdr:from>
      <xdr:col>2</xdr:col>
      <xdr:colOff>359</xdr:colOff>
      <xdr:row>0</xdr:row>
      <xdr:rowOff>204910</xdr:rowOff>
    </xdr:from>
    <xdr:to>
      <xdr:col>16</xdr:col>
      <xdr:colOff>637662</xdr:colOff>
      <xdr:row>1</xdr:row>
      <xdr:rowOff>2721</xdr:rowOff>
    </xdr:to>
    <xdr:grpSp>
      <xdr:nvGrpSpPr>
        <xdr:cNvPr id="22" name="Navbar Home">
          <a:extLst>
            <a:ext uri="{FF2B5EF4-FFF2-40B4-BE49-F238E27FC236}">
              <a16:creationId xmlns:a16="http://schemas.microsoft.com/office/drawing/2014/main" id="{00000000-0008-0000-0000-000016000000}"/>
            </a:ext>
          </a:extLst>
        </xdr:cNvPr>
        <xdr:cNvGrpSpPr/>
      </xdr:nvGrpSpPr>
      <xdr:grpSpPr>
        <a:xfrm>
          <a:off x="406759" y="204910"/>
          <a:ext cx="10949703" cy="267711"/>
          <a:chOff x="363028" y="1679367"/>
          <a:chExt cx="9656717" cy="272044"/>
        </a:xfrm>
      </xdr:grpSpPr>
      <xdr:sp macro="" textlink="">
        <xdr:nvSpPr>
          <xdr:cNvPr id="23" name="0 Home-Button">
            <a:extLst>
              <a:ext uri="{FF2B5EF4-FFF2-40B4-BE49-F238E27FC236}">
                <a16:creationId xmlns:a16="http://schemas.microsoft.com/office/drawing/2014/main" id="{00000000-0008-0000-0000-000017000000}"/>
              </a:ext>
            </a:extLst>
          </xdr:cNvPr>
          <xdr:cNvSpPr/>
        </xdr:nvSpPr>
        <xdr:spPr>
          <a:xfrm>
            <a:off x="363028" y="1679368"/>
            <a:ext cx="1949328" cy="270701"/>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24" name="Home-Button-white">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8"/>
          <a:srcRect/>
          <a:stretch/>
        </xdr:blipFill>
        <xdr:spPr>
          <a:xfrm>
            <a:off x="455014" y="1736489"/>
            <a:ext cx="215823" cy="173643"/>
          </a:xfrm>
          <a:prstGeom prst="rect">
            <a:avLst/>
          </a:prstGeom>
        </xdr:spPr>
      </xdr:pic>
      <xdr:sp macro="" textlink="">
        <xdr:nvSpPr>
          <xdr:cNvPr id="26" name="00 Bestansaufnahme">
            <a:hlinkClick xmlns:r="http://schemas.openxmlformats.org/officeDocument/2006/relationships" r:id="rId14" tooltip="Klicken, um zur Seite &quot;Zählung Bestand&quot; zu gelangen."/>
            <a:extLst>
              <a:ext uri="{FF2B5EF4-FFF2-40B4-BE49-F238E27FC236}">
                <a16:creationId xmlns:a16="http://schemas.microsoft.com/office/drawing/2014/main" id="{00000000-0008-0000-0000-00001A000000}"/>
              </a:ext>
            </a:extLst>
          </xdr:cNvPr>
          <xdr:cNvSpPr/>
        </xdr:nvSpPr>
        <xdr:spPr>
          <a:xfrm>
            <a:off x="745407" y="1679367"/>
            <a:ext cx="1947786" cy="270701"/>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35" name="123 Bestandsaufnahme">
            <a:hlinkClick xmlns:r="http://schemas.openxmlformats.org/officeDocument/2006/relationships" r:id="rId14" tooltip="Klicken, um zur Seite &quot;Zählung Bestand&quot; zu gelangen."/>
            <a:extLst>
              <a:ext uri="{FF2B5EF4-FFF2-40B4-BE49-F238E27FC236}">
                <a16:creationId xmlns:a16="http://schemas.microsoft.com/office/drawing/2014/main" id="{00000000-0008-0000-0000-000023000000}"/>
              </a:ext>
            </a:extLst>
          </xdr:cNvPr>
          <xdr:cNvSpPr txBox="1"/>
        </xdr:nvSpPr>
        <xdr:spPr>
          <a:xfrm>
            <a:off x="790664" y="1732683"/>
            <a:ext cx="276212" cy="194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36" name="A Bestandseingabe">
            <a:hlinkClick xmlns:r="http://schemas.openxmlformats.org/officeDocument/2006/relationships" r:id="rId15" tooltip="Klicken, um zu Teil A zu gelangen."/>
            <a:extLst>
              <a:ext uri="{FF2B5EF4-FFF2-40B4-BE49-F238E27FC236}">
                <a16:creationId xmlns:a16="http://schemas.microsoft.com/office/drawing/2014/main" id="{00000000-0008-0000-0000-000024000000}"/>
              </a:ext>
            </a:extLst>
          </xdr:cNvPr>
          <xdr:cNvSpPr/>
        </xdr:nvSpPr>
        <xdr:spPr>
          <a:xfrm>
            <a:off x="1097884" y="1679368"/>
            <a:ext cx="1841609"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37" name="B Parametereingabe">
            <a:hlinkClick xmlns:r="http://schemas.openxmlformats.org/officeDocument/2006/relationships" r:id="rId16" tooltip="Klicken, um zu Teil B zu gelangen."/>
            <a:extLst>
              <a:ext uri="{FF2B5EF4-FFF2-40B4-BE49-F238E27FC236}">
                <a16:creationId xmlns:a16="http://schemas.microsoft.com/office/drawing/2014/main" id="{00000000-0008-0000-0000-000025000000}"/>
              </a:ext>
            </a:extLst>
          </xdr:cNvPr>
          <xdr:cNvSpPr/>
        </xdr:nvSpPr>
        <xdr:spPr>
          <a:xfrm>
            <a:off x="2599649" y="1679368"/>
            <a:ext cx="1982374"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38" name="C Ergebnisjustierung">
            <a:hlinkClick xmlns:r="http://schemas.openxmlformats.org/officeDocument/2006/relationships" r:id="rId17" tooltip="Klicken, um zu Teil C zu gelangen."/>
            <a:extLst>
              <a:ext uri="{FF2B5EF4-FFF2-40B4-BE49-F238E27FC236}">
                <a16:creationId xmlns:a16="http://schemas.microsoft.com/office/drawing/2014/main" id="{00000000-0008-0000-0000-000026000000}"/>
              </a:ext>
            </a:extLst>
          </xdr:cNvPr>
          <xdr:cNvSpPr/>
        </xdr:nvSpPr>
        <xdr:spPr>
          <a:xfrm>
            <a:off x="4190648" y="1679368"/>
            <a:ext cx="1914547"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39" name="D Kostenanalyse">
            <a:hlinkClick xmlns:r="http://schemas.openxmlformats.org/officeDocument/2006/relationships" r:id="rId18" tooltip="Klicken, um zu Teil D zu gelangen."/>
            <a:extLst>
              <a:ext uri="{FF2B5EF4-FFF2-40B4-BE49-F238E27FC236}">
                <a16:creationId xmlns:a16="http://schemas.microsoft.com/office/drawing/2014/main" id="{00000000-0008-0000-0000-000027000000}"/>
              </a:ext>
            </a:extLst>
          </xdr:cNvPr>
          <xdr:cNvSpPr/>
        </xdr:nvSpPr>
        <xdr:spPr>
          <a:xfrm>
            <a:off x="5789196" y="1679368"/>
            <a:ext cx="1600997"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40" name="E1 Checklisten">
            <a:hlinkClick xmlns:r="http://schemas.openxmlformats.org/officeDocument/2006/relationships" r:id="rId19" tooltip="Klicken, um zu Teil E1 zu gelangen."/>
            <a:extLst>
              <a:ext uri="{FF2B5EF4-FFF2-40B4-BE49-F238E27FC236}">
                <a16:creationId xmlns:a16="http://schemas.microsoft.com/office/drawing/2014/main" id="{00000000-0008-0000-0000-000028000000}"/>
              </a:ext>
            </a:extLst>
          </xdr:cNvPr>
          <xdr:cNvSpPr/>
        </xdr:nvSpPr>
        <xdr:spPr>
          <a:xfrm>
            <a:off x="7114387" y="1679368"/>
            <a:ext cx="997234"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41" name="E2 Checklisten">
            <a:hlinkClick xmlns:r="http://schemas.openxmlformats.org/officeDocument/2006/relationships" r:id="rId20" tooltip="Klicken, um zu Teil E2 zu gelangen."/>
            <a:extLst>
              <a:ext uri="{FF2B5EF4-FFF2-40B4-BE49-F238E27FC236}">
                <a16:creationId xmlns:a16="http://schemas.microsoft.com/office/drawing/2014/main" id="{00000000-0008-0000-0000-000029000000}"/>
              </a:ext>
            </a:extLst>
          </xdr:cNvPr>
          <xdr:cNvSpPr/>
        </xdr:nvSpPr>
        <xdr:spPr>
          <a:xfrm>
            <a:off x="7635178" y="1679368"/>
            <a:ext cx="1466008" cy="27204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 ▪ Checklisten</a:t>
            </a:r>
            <a:endParaRPr lang="de-DE" sz="1300" b="0">
              <a:solidFill>
                <a:schemeClr val="accent3">
                  <a:lumMod val="50000"/>
                </a:schemeClr>
              </a:solidFill>
              <a:effectLst/>
            </a:endParaRPr>
          </a:p>
        </xdr:txBody>
      </xdr:sp>
      <xdr:sp macro="" textlink="">
        <xdr:nvSpPr>
          <xdr:cNvPr id="42" name="F Kurzbericht">
            <a:hlinkClick xmlns:r="http://schemas.openxmlformats.org/officeDocument/2006/relationships" r:id="rId21" tooltip="Klicken, um zu Teil F zu gelangen."/>
            <a:extLst>
              <a:ext uri="{FF2B5EF4-FFF2-40B4-BE49-F238E27FC236}">
                <a16:creationId xmlns:a16="http://schemas.microsoft.com/office/drawing/2014/main" id="{00000000-0008-0000-0000-00002A000000}"/>
              </a:ext>
            </a:extLst>
          </xdr:cNvPr>
          <xdr:cNvSpPr/>
        </xdr:nvSpPr>
        <xdr:spPr>
          <a:xfrm>
            <a:off x="8842479" y="1679368"/>
            <a:ext cx="1177266"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absolute">
    <xdr:from>
      <xdr:col>6</xdr:col>
      <xdr:colOff>152400</xdr:colOff>
      <xdr:row>0</xdr:row>
      <xdr:rowOff>54900</xdr:rowOff>
    </xdr:from>
    <xdr:to>
      <xdr:col>8</xdr:col>
      <xdr:colOff>552450</xdr:colOff>
      <xdr:row>0</xdr:row>
      <xdr:rowOff>342900</xdr:rowOff>
    </xdr:to>
    <xdr:sp macro="" textlink="">
      <xdr:nvSpPr>
        <xdr:cNvPr id="2" name="Rectangle: Rounded Corners 1">
          <a:hlinkClick xmlns:r="http://schemas.openxmlformats.org/officeDocument/2006/relationships" r:id="rId1" tooltip="jump to..."/>
          <a:extLst>
            <a:ext uri="{FF2B5EF4-FFF2-40B4-BE49-F238E27FC236}">
              <a16:creationId xmlns:a16="http://schemas.microsoft.com/office/drawing/2014/main" id="{00000000-0008-0000-0900-000002000000}"/>
            </a:ext>
          </a:extLst>
        </xdr:cNvPr>
        <xdr:cNvSpPr/>
      </xdr:nvSpPr>
      <xdr:spPr>
        <a:xfrm>
          <a:off x="3705225" y="54900"/>
          <a:ext cx="1695450"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Zuordnung Stellplätze</a:t>
          </a:r>
        </a:p>
      </xdr:txBody>
    </xdr:sp>
    <xdr:clientData/>
  </xdr:twoCellAnchor>
  <xdr:twoCellAnchor editAs="absolute">
    <xdr:from>
      <xdr:col>9</xdr:col>
      <xdr:colOff>49357</xdr:colOff>
      <xdr:row>0</xdr:row>
      <xdr:rowOff>54900</xdr:rowOff>
    </xdr:from>
    <xdr:to>
      <xdr:col>11</xdr:col>
      <xdr:colOff>449407</xdr:colOff>
      <xdr:row>0</xdr:row>
      <xdr:rowOff>342900</xdr:rowOff>
    </xdr:to>
    <xdr:sp macro="" textlink="">
      <xdr:nvSpPr>
        <xdr:cNvPr id="3" name="Rectangle: Rounded Corners 2">
          <a:hlinkClick xmlns:r="http://schemas.openxmlformats.org/officeDocument/2006/relationships" r:id="rId2" tooltip="jump to..."/>
          <a:extLst>
            <a:ext uri="{FF2B5EF4-FFF2-40B4-BE49-F238E27FC236}">
              <a16:creationId xmlns:a16="http://schemas.microsoft.com/office/drawing/2014/main" id="{00000000-0008-0000-0900-000003000000}"/>
            </a:ext>
          </a:extLst>
        </xdr:cNvPr>
        <xdr:cNvSpPr/>
      </xdr:nvSpPr>
      <xdr:spPr>
        <a:xfrm>
          <a:off x="5487266" y="54900"/>
          <a:ext cx="1681596"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VST</a:t>
          </a:r>
          <a:r>
            <a:rPr lang="de-DE" sz="1100" baseline="0">
              <a:solidFill>
                <a:schemeClr val="accent1">
                  <a:lumMod val="50000"/>
                </a:schemeClr>
              </a:solidFill>
            </a:rPr>
            <a:t> / Zugänge / TF</a:t>
          </a:r>
        </a:p>
      </xdr:txBody>
    </xdr:sp>
    <xdr:clientData/>
  </xdr:twoCellAnchor>
  <xdr:twoCellAnchor editAs="absolute">
    <xdr:from>
      <xdr:col>11</xdr:col>
      <xdr:colOff>587087</xdr:colOff>
      <xdr:row>0</xdr:row>
      <xdr:rowOff>54900</xdr:rowOff>
    </xdr:from>
    <xdr:to>
      <xdr:col>14</xdr:col>
      <xdr:colOff>339437</xdr:colOff>
      <xdr:row>0</xdr:row>
      <xdr:rowOff>342900</xdr:rowOff>
    </xdr:to>
    <xdr:sp macro="" textlink="">
      <xdr:nvSpPr>
        <xdr:cNvPr id="4" name="Rectangle: Rounded Corners 3">
          <a:hlinkClick xmlns:r="http://schemas.openxmlformats.org/officeDocument/2006/relationships" r:id="rId3" tooltip="jump to..."/>
          <a:extLst>
            <a:ext uri="{FF2B5EF4-FFF2-40B4-BE49-F238E27FC236}">
              <a16:creationId xmlns:a16="http://schemas.microsoft.com/office/drawing/2014/main" id="{00000000-0008-0000-0900-000004000000}"/>
            </a:ext>
          </a:extLst>
        </xdr:cNvPr>
        <xdr:cNvSpPr/>
      </xdr:nvSpPr>
      <xdr:spPr>
        <a:xfrm>
          <a:off x="7306542" y="54900"/>
          <a:ext cx="1674668"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Fehlermanagement</a:t>
          </a:r>
        </a:p>
      </xdr:txBody>
    </xdr:sp>
    <xdr:clientData/>
  </xdr:twoCellAnchor>
  <xdr:twoCellAnchor editAs="absolute">
    <xdr:from>
      <xdr:col>14</xdr:col>
      <xdr:colOff>477117</xdr:colOff>
      <xdr:row>0</xdr:row>
      <xdr:rowOff>54900</xdr:rowOff>
    </xdr:from>
    <xdr:to>
      <xdr:col>17</xdr:col>
      <xdr:colOff>229467</xdr:colOff>
      <xdr:row>0</xdr:row>
      <xdr:rowOff>342900</xdr:rowOff>
    </xdr:to>
    <xdr:sp macro="" textlink="">
      <xdr:nvSpPr>
        <xdr:cNvPr id="5" name="Rectangle: Rounded Corners 4">
          <a:hlinkClick xmlns:r="http://schemas.openxmlformats.org/officeDocument/2006/relationships" r:id="rId4" tooltip="jump to..."/>
          <a:extLst>
            <a:ext uri="{FF2B5EF4-FFF2-40B4-BE49-F238E27FC236}">
              <a16:creationId xmlns:a16="http://schemas.microsoft.com/office/drawing/2014/main" id="{00000000-0008-0000-0900-000005000000}"/>
            </a:ext>
          </a:extLst>
        </xdr:cNvPr>
        <xdr:cNvSpPr/>
      </xdr:nvSpPr>
      <xdr:spPr>
        <a:xfrm>
          <a:off x="9118890" y="54900"/>
          <a:ext cx="1674668"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Auswahlfelder</a:t>
          </a:r>
          <a:r>
            <a:rPr lang="de-DE" sz="1100" baseline="0">
              <a:solidFill>
                <a:schemeClr val="accent1">
                  <a:lumMod val="50000"/>
                </a:schemeClr>
              </a:solidFill>
            </a:rPr>
            <a:t> + Variabl.</a:t>
          </a:r>
          <a:endParaRPr lang="de-DE" sz="1100">
            <a:solidFill>
              <a:schemeClr val="accent1">
                <a:lumMod val="50000"/>
              </a:schemeClr>
            </a:solidFill>
          </a:endParaRPr>
        </a:p>
      </xdr:txBody>
    </xdr:sp>
    <xdr:clientData/>
  </xdr:twoCellAnchor>
  <xdr:twoCellAnchor editAs="absolute">
    <xdr:from>
      <xdr:col>17</xdr:col>
      <xdr:colOff>367147</xdr:colOff>
      <xdr:row>0</xdr:row>
      <xdr:rowOff>54900</xdr:rowOff>
    </xdr:from>
    <xdr:to>
      <xdr:col>20</xdr:col>
      <xdr:colOff>119497</xdr:colOff>
      <xdr:row>0</xdr:row>
      <xdr:rowOff>342900</xdr:rowOff>
    </xdr:to>
    <xdr:sp macro="" textlink="">
      <xdr:nvSpPr>
        <xdr:cNvPr id="6" name="Rectangle: Rounded Corners 5">
          <a:hlinkClick xmlns:r="http://schemas.openxmlformats.org/officeDocument/2006/relationships" r:id="rId5" tooltip="jump to..."/>
          <a:extLst>
            <a:ext uri="{FF2B5EF4-FFF2-40B4-BE49-F238E27FC236}">
              <a16:creationId xmlns:a16="http://schemas.microsoft.com/office/drawing/2014/main" id="{00000000-0008-0000-0900-000006000000}"/>
            </a:ext>
          </a:extLst>
        </xdr:cNvPr>
        <xdr:cNvSpPr/>
      </xdr:nvSpPr>
      <xdr:spPr>
        <a:xfrm>
          <a:off x="10931238" y="54900"/>
          <a:ext cx="1674668"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Variable Textbausteine</a:t>
          </a:r>
        </a:p>
      </xdr:txBody>
    </xdr:sp>
    <xdr:clientData/>
  </xdr:twoCellAnchor>
  <xdr:twoCellAnchor editAs="absolute">
    <xdr:from>
      <xdr:col>20</xdr:col>
      <xdr:colOff>257177</xdr:colOff>
      <xdr:row>0</xdr:row>
      <xdr:rowOff>54900</xdr:rowOff>
    </xdr:from>
    <xdr:to>
      <xdr:col>23</xdr:col>
      <xdr:colOff>9527</xdr:colOff>
      <xdr:row>0</xdr:row>
      <xdr:rowOff>342900</xdr:rowOff>
    </xdr:to>
    <xdr:sp macro="" textlink="">
      <xdr:nvSpPr>
        <xdr:cNvPr id="7" name="Rectangle: Rounded Corners 6">
          <a:hlinkClick xmlns:r="http://schemas.openxmlformats.org/officeDocument/2006/relationships" r:id="rId6" tooltip="jump to..."/>
          <a:extLst>
            <a:ext uri="{FF2B5EF4-FFF2-40B4-BE49-F238E27FC236}">
              <a16:creationId xmlns:a16="http://schemas.microsoft.com/office/drawing/2014/main" id="{00000000-0008-0000-0900-000007000000}"/>
            </a:ext>
          </a:extLst>
        </xdr:cNvPr>
        <xdr:cNvSpPr/>
      </xdr:nvSpPr>
      <xdr:spPr>
        <a:xfrm>
          <a:off x="12743586" y="54900"/>
          <a:ext cx="1674668"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Checkboxen</a:t>
          </a:r>
        </a:p>
      </xdr:txBody>
    </xdr:sp>
    <xdr:clientData/>
  </xdr:twoCellAnchor>
  <xdr:twoCellAnchor editAs="absolute">
    <xdr:from>
      <xdr:col>23</xdr:col>
      <xdr:colOff>147205</xdr:colOff>
      <xdr:row>0</xdr:row>
      <xdr:rowOff>54900</xdr:rowOff>
    </xdr:from>
    <xdr:to>
      <xdr:col>25</xdr:col>
      <xdr:colOff>540327</xdr:colOff>
      <xdr:row>0</xdr:row>
      <xdr:rowOff>342900</xdr:rowOff>
    </xdr:to>
    <xdr:sp macro="" textlink="">
      <xdr:nvSpPr>
        <xdr:cNvPr id="8" name="Rectangle: Rounded Corners 7">
          <a:hlinkClick xmlns:r="http://schemas.openxmlformats.org/officeDocument/2006/relationships" r:id="rId7" tooltip="jump to..."/>
          <a:extLst>
            <a:ext uri="{FF2B5EF4-FFF2-40B4-BE49-F238E27FC236}">
              <a16:creationId xmlns:a16="http://schemas.microsoft.com/office/drawing/2014/main" id="{00000000-0008-0000-0900-000008000000}"/>
            </a:ext>
          </a:extLst>
        </xdr:cNvPr>
        <xdr:cNvSpPr/>
      </xdr:nvSpPr>
      <xdr:spPr>
        <a:xfrm>
          <a:off x="14555932" y="54900"/>
          <a:ext cx="1674668"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Richtwerte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105</xdr:row>
      <xdr:rowOff>136735</xdr:rowOff>
    </xdr:from>
    <xdr:to>
      <xdr:col>24</xdr:col>
      <xdr:colOff>0</xdr:colOff>
      <xdr:row>107</xdr:row>
      <xdr:rowOff>0</xdr:rowOff>
    </xdr:to>
    <xdr:grpSp>
      <xdr:nvGrpSpPr>
        <xdr:cNvPr id="25" name="Footer">
          <a:extLst>
            <a:ext uri="{FF2B5EF4-FFF2-40B4-BE49-F238E27FC236}">
              <a16:creationId xmlns:a16="http://schemas.microsoft.com/office/drawing/2014/main" id="{00000000-0008-0000-0100-000019000000}"/>
            </a:ext>
          </a:extLst>
        </xdr:cNvPr>
        <xdr:cNvGrpSpPr/>
      </xdr:nvGrpSpPr>
      <xdr:grpSpPr>
        <a:xfrm>
          <a:off x="0" y="30578635"/>
          <a:ext cx="14681200" cy="764965"/>
          <a:chOff x="0" y="58124935"/>
          <a:chExt cx="12915900" cy="768140"/>
        </a:xfrm>
      </xdr:grpSpPr>
      <xdr:sp macro="" textlink="">
        <xdr:nvSpPr>
          <xdr:cNvPr id="26" name="Spacer Footer">
            <a:extLst>
              <a:ext uri="{FF2B5EF4-FFF2-40B4-BE49-F238E27FC236}">
                <a16:creationId xmlns:a16="http://schemas.microsoft.com/office/drawing/2014/main" id="{00000000-0008-0000-0100-00001A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 name="LOGO BStext">
            <a:hlinkClick xmlns:r="http://schemas.openxmlformats.org/officeDocument/2006/relationships" r:id="rId1"/>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28" name="LOGO IFP">
            <a:hlinkClick xmlns:r="http://schemas.openxmlformats.org/officeDocument/2006/relationships" r:id="rId3"/>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editAs="oneCell">
    <xdr:from>
      <xdr:col>23</xdr:col>
      <xdr:colOff>89775</xdr:colOff>
      <xdr:row>4</xdr:row>
      <xdr:rowOff>20250</xdr:rowOff>
    </xdr:from>
    <xdr:to>
      <xdr:col>24</xdr:col>
      <xdr:colOff>9525</xdr:colOff>
      <xdr:row>15</xdr:row>
      <xdr:rowOff>0</xdr:rowOff>
    </xdr:to>
    <xdr:pic>
      <xdr:nvPicPr>
        <xdr:cNvPr id="30" name="LOGO IFP SB">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5"/>
        <a:stretch>
          <a:fillRect/>
        </a:stretch>
      </xdr:blipFill>
      <xdr:spPr>
        <a:xfrm rot="5400000">
          <a:off x="11737425" y="1555200"/>
          <a:ext cx="1980000" cy="396000"/>
        </a:xfrm>
        <a:prstGeom prst="rect">
          <a:avLst/>
        </a:prstGeom>
      </xdr:spPr>
    </xdr:pic>
    <xdr:clientData/>
  </xdr:twoCellAnchor>
  <xdr:twoCellAnchor editAs="absolute">
    <xdr:from>
      <xdr:col>23</xdr:col>
      <xdr:colOff>1970</xdr:colOff>
      <xdr:row>15</xdr:row>
      <xdr:rowOff>0</xdr:rowOff>
    </xdr:from>
    <xdr:to>
      <xdr:col>24</xdr:col>
      <xdr:colOff>0</xdr:colOff>
      <xdr:row>18</xdr:row>
      <xdr:rowOff>126568</xdr:rowOff>
    </xdr:to>
    <xdr:sp macro="" textlink="">
      <xdr:nvSpPr>
        <xdr:cNvPr id="13" name="Spacer">
          <a:extLst>
            <a:ext uri="{FF2B5EF4-FFF2-40B4-BE49-F238E27FC236}">
              <a16:creationId xmlns:a16="http://schemas.microsoft.com/office/drawing/2014/main" id="{00000000-0008-0000-0100-00000D000000}"/>
            </a:ext>
          </a:extLst>
        </xdr:cNvPr>
        <xdr:cNvSpPr/>
      </xdr:nvSpPr>
      <xdr:spPr>
        <a:xfrm>
          <a:off x="12441620" y="2743200"/>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14" name="Spacer">
          <a:extLst>
            <a:ext uri="{FF2B5EF4-FFF2-40B4-BE49-F238E27FC236}">
              <a16:creationId xmlns:a16="http://schemas.microsoft.com/office/drawing/2014/main" id="{00000000-0008-0000-0100-00000E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2</xdr:col>
      <xdr:colOff>0</xdr:colOff>
      <xdr:row>0</xdr:row>
      <xdr:rowOff>207362</xdr:rowOff>
    </xdr:from>
    <xdr:to>
      <xdr:col>16</xdr:col>
      <xdr:colOff>637080</xdr:colOff>
      <xdr:row>1</xdr:row>
      <xdr:rowOff>3284</xdr:rowOff>
    </xdr:to>
    <xdr:grpSp>
      <xdr:nvGrpSpPr>
        <xdr:cNvPr id="2" name="Navbar 123">
          <a:extLst>
            <a:ext uri="{FF2B5EF4-FFF2-40B4-BE49-F238E27FC236}">
              <a16:creationId xmlns:a16="http://schemas.microsoft.com/office/drawing/2014/main" id="{00000000-0008-0000-0100-000002000000}"/>
            </a:ext>
          </a:extLst>
        </xdr:cNvPr>
        <xdr:cNvGrpSpPr/>
      </xdr:nvGrpSpPr>
      <xdr:grpSpPr>
        <a:xfrm>
          <a:off x="406400" y="207362"/>
          <a:ext cx="10949480" cy="265822"/>
          <a:chOff x="361950" y="205371"/>
          <a:chExt cx="9662855" cy="270879"/>
        </a:xfrm>
      </xdr:grpSpPr>
      <xdr:sp macro="" textlink="">
        <xdr:nvSpPr>
          <xdr:cNvPr id="3" name="0 Home-Button">
            <a:hlinkClick xmlns:r="http://schemas.openxmlformats.org/officeDocument/2006/relationships" r:id="rId6" tooltip="Klicken, um zur Startseite zu gelangen."/>
            <a:extLst>
              <a:ext uri="{FF2B5EF4-FFF2-40B4-BE49-F238E27FC236}">
                <a16:creationId xmlns:a16="http://schemas.microsoft.com/office/drawing/2014/main" id="{00000000-0008-0000-0100-000003000000}"/>
              </a:ext>
            </a:extLst>
          </xdr:cNvPr>
          <xdr:cNvSpPr/>
        </xdr:nvSpPr>
        <xdr:spPr>
          <a:xfrm>
            <a:off x="361950" y="205371"/>
            <a:ext cx="1950691"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4" name="Home-Button">
            <a:hlinkClick xmlns:r="http://schemas.openxmlformats.org/officeDocument/2006/relationships" r:id="rId6" tooltip="Klicken, um zur Startseite zu gelangen."/>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7"/>
          <a:srcRect/>
          <a:stretch/>
        </xdr:blipFill>
        <xdr:spPr>
          <a:xfrm>
            <a:off x="453899" y="262635"/>
            <a:ext cx="215823" cy="173413"/>
          </a:xfrm>
          <a:prstGeom prst="rect">
            <a:avLst/>
          </a:prstGeom>
        </xdr:spPr>
      </xdr:pic>
      <xdr:sp macro="" textlink="">
        <xdr:nvSpPr>
          <xdr:cNvPr id="5" name="00 Bestansaufnahme">
            <a:extLst>
              <a:ext uri="{FF2B5EF4-FFF2-40B4-BE49-F238E27FC236}">
                <a16:creationId xmlns:a16="http://schemas.microsoft.com/office/drawing/2014/main" id="{00000000-0008-0000-0100-000005000000}"/>
              </a:ext>
            </a:extLst>
          </xdr:cNvPr>
          <xdr:cNvSpPr/>
        </xdr:nvSpPr>
        <xdr:spPr>
          <a:xfrm>
            <a:off x="744174" y="205371"/>
            <a:ext cx="1949150" cy="270879"/>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6" name="123 Bestandsaufnahme">
            <a:extLst>
              <a:ext uri="{FF2B5EF4-FFF2-40B4-BE49-F238E27FC236}">
                <a16:creationId xmlns:a16="http://schemas.microsoft.com/office/drawing/2014/main" id="{00000000-0008-0000-0100-000006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bg1"/>
                </a:solidFill>
              </a:rPr>
              <a:t>123</a:t>
            </a:r>
          </a:p>
        </xdr:txBody>
      </xdr:sp>
      <xdr:sp macro="" textlink="">
        <xdr:nvSpPr>
          <xdr:cNvPr id="7" name="A Bestandseingabe">
            <a:hlinkClick xmlns:r="http://schemas.openxmlformats.org/officeDocument/2006/relationships" r:id="rId8" tooltip="Klicken, um zu Teil A zu gelangen."/>
            <a:extLst>
              <a:ext uri="{FF2B5EF4-FFF2-40B4-BE49-F238E27FC236}">
                <a16:creationId xmlns:a16="http://schemas.microsoft.com/office/drawing/2014/main" id="{00000000-0008-0000-0100-000007000000}"/>
              </a:ext>
            </a:extLst>
          </xdr:cNvPr>
          <xdr:cNvSpPr/>
        </xdr:nvSpPr>
        <xdr:spPr>
          <a:xfrm>
            <a:off x="1097226" y="205371"/>
            <a:ext cx="184229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8" name="B Parametereingabe">
            <a:hlinkClick xmlns:r="http://schemas.openxmlformats.org/officeDocument/2006/relationships" r:id="rId9" tooltip="Klicken, um zu Teil B zu gelangen."/>
            <a:extLst>
              <a:ext uri="{FF2B5EF4-FFF2-40B4-BE49-F238E27FC236}">
                <a16:creationId xmlns:a16="http://schemas.microsoft.com/office/drawing/2014/main" id="{00000000-0008-0000-0100-000008000000}"/>
              </a:ext>
            </a:extLst>
          </xdr:cNvPr>
          <xdr:cNvSpPr/>
        </xdr:nvSpPr>
        <xdr:spPr>
          <a:xfrm>
            <a:off x="2599818" y="205371"/>
            <a:ext cx="1983725"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9" name="C Ergebnisjustierung">
            <a:hlinkClick xmlns:r="http://schemas.openxmlformats.org/officeDocument/2006/relationships" r:id="rId10" tooltip="Klicken, um zu Teil C zu gelangen."/>
            <a:extLst>
              <a:ext uri="{FF2B5EF4-FFF2-40B4-BE49-F238E27FC236}">
                <a16:creationId xmlns:a16="http://schemas.microsoft.com/office/drawing/2014/main" id="{00000000-0008-0000-0100-000009000000}"/>
              </a:ext>
            </a:extLst>
          </xdr:cNvPr>
          <xdr:cNvSpPr/>
        </xdr:nvSpPr>
        <xdr:spPr>
          <a:xfrm>
            <a:off x="4191608" y="205371"/>
            <a:ext cx="1915926"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10" name="D Kostenanalyse">
            <a:hlinkClick xmlns:r="http://schemas.openxmlformats.org/officeDocument/2006/relationships" r:id="rId11" tooltip="Klicken, um zu Teil D zu gelangen."/>
            <a:extLst>
              <a:ext uri="{FF2B5EF4-FFF2-40B4-BE49-F238E27FC236}">
                <a16:creationId xmlns:a16="http://schemas.microsoft.com/office/drawing/2014/main" id="{00000000-0008-0000-0100-00000A000000}"/>
              </a:ext>
            </a:extLst>
          </xdr:cNvPr>
          <xdr:cNvSpPr/>
        </xdr:nvSpPr>
        <xdr:spPr>
          <a:xfrm>
            <a:off x="5791663" y="205371"/>
            <a:ext cx="1601783"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18" name="E1 Checklisten">
            <a:hlinkClick xmlns:r="http://schemas.openxmlformats.org/officeDocument/2006/relationships" r:id="rId12" tooltip="Klicken, um zu Teil E1 zu gelangen."/>
            <a:extLst>
              <a:ext uri="{FF2B5EF4-FFF2-40B4-BE49-F238E27FC236}">
                <a16:creationId xmlns:a16="http://schemas.microsoft.com/office/drawing/2014/main" id="{00000000-0008-0000-0100-000012000000}"/>
              </a:ext>
            </a:extLst>
          </xdr:cNvPr>
          <xdr:cNvSpPr/>
        </xdr:nvSpPr>
        <xdr:spPr>
          <a:xfrm>
            <a:off x="7117752"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19"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100-000013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 ▪ Checklisten</a:t>
            </a:r>
            <a:endParaRPr lang="de-DE" sz="1300" b="0">
              <a:solidFill>
                <a:schemeClr val="accent3">
                  <a:lumMod val="50000"/>
                </a:schemeClr>
              </a:solidFill>
              <a:effectLst/>
            </a:endParaRPr>
          </a:p>
        </xdr:txBody>
      </xdr:sp>
      <xdr:sp macro="" textlink="">
        <xdr:nvSpPr>
          <xdr:cNvPr id="20"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100-000014000000}"/>
              </a:ext>
            </a:extLst>
          </xdr:cNvPr>
          <xdr:cNvSpPr/>
        </xdr:nvSpPr>
        <xdr:spPr>
          <a:xfrm>
            <a:off x="8847298" y="205371"/>
            <a:ext cx="117750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130</xdr:row>
      <xdr:rowOff>133837</xdr:rowOff>
    </xdr:from>
    <xdr:to>
      <xdr:col>24</xdr:col>
      <xdr:colOff>0</xdr:colOff>
      <xdr:row>132</xdr:row>
      <xdr:rowOff>0</xdr:rowOff>
    </xdr:to>
    <xdr:grpSp>
      <xdr:nvGrpSpPr>
        <xdr:cNvPr id="13" name="Footer">
          <a:extLst>
            <a:ext uri="{FF2B5EF4-FFF2-40B4-BE49-F238E27FC236}">
              <a16:creationId xmlns:a16="http://schemas.microsoft.com/office/drawing/2014/main" id="{00000000-0008-0000-0200-00000D000000}"/>
            </a:ext>
          </a:extLst>
        </xdr:cNvPr>
        <xdr:cNvGrpSpPr/>
      </xdr:nvGrpSpPr>
      <xdr:grpSpPr>
        <a:xfrm>
          <a:off x="0" y="26397437"/>
          <a:ext cx="14681200" cy="767863"/>
          <a:chOff x="0" y="58124935"/>
          <a:chExt cx="12915900" cy="768142"/>
        </a:xfrm>
      </xdr:grpSpPr>
      <xdr:sp macro="" textlink="">
        <xdr:nvSpPr>
          <xdr:cNvPr id="14" name="Spacer Footer">
            <a:extLst>
              <a:ext uri="{FF2B5EF4-FFF2-40B4-BE49-F238E27FC236}">
                <a16:creationId xmlns:a16="http://schemas.microsoft.com/office/drawing/2014/main" id="{00000000-0008-0000-0200-00000E000000}"/>
              </a:ext>
            </a:extLst>
          </xdr:cNvPr>
          <xdr:cNvSpPr/>
        </xdr:nvSpPr>
        <xdr:spPr>
          <a:xfrm>
            <a:off x="0" y="58565559"/>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5" name="LOGO BStext">
            <a:hlinkClick xmlns:r="http://schemas.openxmlformats.org/officeDocument/2006/relationships" r:id="rId1"/>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6" name="LOGO IFP">
            <a:hlinkClick xmlns:r="http://schemas.openxmlformats.org/officeDocument/2006/relationships" r:id="rId3"/>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xdr:from>
      <xdr:col>3</xdr:col>
      <xdr:colOff>0</xdr:colOff>
      <xdr:row>127</xdr:row>
      <xdr:rowOff>0</xdr:rowOff>
    </xdr:from>
    <xdr:to>
      <xdr:col>19</xdr:col>
      <xdr:colOff>0</xdr:colOff>
      <xdr:row>128</xdr:row>
      <xdr:rowOff>0</xdr:rowOff>
    </xdr:to>
    <xdr:sp macro="" textlink="">
      <xdr:nvSpPr>
        <xdr:cNvPr id="9" name="Button nächste Seite">
          <a:hlinkClick xmlns:r="http://schemas.openxmlformats.org/officeDocument/2006/relationships" r:id="rId5" tooltip="Klicken, um zu Teil B zu gelangen."/>
          <a:extLst>
            <a:ext uri="{FF2B5EF4-FFF2-40B4-BE49-F238E27FC236}">
              <a16:creationId xmlns:a16="http://schemas.microsoft.com/office/drawing/2014/main" id="{00000000-0008-0000-0200-000009000000}"/>
            </a:ext>
          </a:extLst>
        </xdr:cNvPr>
        <xdr:cNvSpPr/>
      </xdr:nvSpPr>
      <xdr:spPr>
        <a:xfrm>
          <a:off x="1009650" y="21964650"/>
          <a:ext cx="10363200" cy="304800"/>
        </a:xfrm>
        <a:prstGeom prst="roundRect">
          <a:avLst/>
        </a:prstGeom>
        <a:solidFill>
          <a:schemeClr val="accent3">
            <a:lumMod val="40000"/>
            <a:lumOff val="60000"/>
          </a:schemeClr>
        </a:solidFill>
        <a:ln>
          <a:solidFill>
            <a:schemeClr val="accent3">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200" b="0" kern="0" spc="100" baseline="0">
              <a:solidFill>
                <a:schemeClr val="accent3">
                  <a:lumMod val="50000"/>
                </a:schemeClr>
              </a:solidFill>
            </a:rPr>
            <a:t>Eingabe abschließen und weiter zu Teil B – Parametereingabe (Sie können Ihre Eingaben jederzeit ändern).</a:t>
          </a:r>
        </a:p>
      </xdr:txBody>
    </xdr:sp>
    <xdr:clientData/>
  </xdr:twoCellAnchor>
  <xdr:twoCellAnchor editAs="oneCell">
    <xdr:from>
      <xdr:col>23</xdr:col>
      <xdr:colOff>87805</xdr:colOff>
      <xdr:row>4</xdr:row>
      <xdr:rowOff>0</xdr:rowOff>
    </xdr:from>
    <xdr:to>
      <xdr:col>24</xdr:col>
      <xdr:colOff>7555</xdr:colOff>
      <xdr:row>14</xdr:row>
      <xdr:rowOff>55950</xdr:rowOff>
    </xdr:to>
    <xdr:pic>
      <xdr:nvPicPr>
        <xdr:cNvPr id="23" name="LOGO IFP SB">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6"/>
        <a:stretch>
          <a:fillRect/>
        </a:stretch>
      </xdr:blipFill>
      <xdr:spPr>
        <a:xfrm rot="5400000">
          <a:off x="11735455" y="1534950"/>
          <a:ext cx="1980000" cy="396000"/>
        </a:xfrm>
        <a:prstGeom prst="rect">
          <a:avLst/>
        </a:prstGeom>
      </xdr:spPr>
    </xdr:pic>
    <xdr:clientData/>
  </xdr:twoCellAnchor>
  <xdr:twoCellAnchor editAs="absolute">
    <xdr:from>
      <xdr:col>23</xdr:col>
      <xdr:colOff>0</xdr:colOff>
      <xdr:row>14</xdr:row>
      <xdr:rowOff>55950</xdr:rowOff>
    </xdr:from>
    <xdr:to>
      <xdr:col>23</xdr:col>
      <xdr:colOff>474280</xdr:colOff>
      <xdr:row>18</xdr:row>
      <xdr:rowOff>106318</xdr:rowOff>
    </xdr:to>
    <xdr:sp macro="" textlink="">
      <xdr:nvSpPr>
        <xdr:cNvPr id="22" name="Spacer">
          <a:extLst>
            <a:ext uri="{FF2B5EF4-FFF2-40B4-BE49-F238E27FC236}">
              <a16:creationId xmlns:a16="http://schemas.microsoft.com/office/drawing/2014/main" id="{00000000-0008-0000-0200-000016000000}"/>
            </a:ext>
          </a:extLst>
        </xdr:cNvPr>
        <xdr:cNvSpPr/>
      </xdr:nvSpPr>
      <xdr:spPr>
        <a:xfrm>
          <a:off x="12439650" y="2722950"/>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26" name="Spacer">
          <a:extLst>
            <a:ext uri="{FF2B5EF4-FFF2-40B4-BE49-F238E27FC236}">
              <a16:creationId xmlns:a16="http://schemas.microsoft.com/office/drawing/2014/main" id="{00000000-0008-0000-0200-00001A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2</xdr:col>
      <xdr:colOff>1465</xdr:colOff>
      <xdr:row>0</xdr:row>
      <xdr:rowOff>205896</xdr:rowOff>
    </xdr:from>
    <xdr:to>
      <xdr:col>16</xdr:col>
      <xdr:colOff>637080</xdr:colOff>
      <xdr:row>1</xdr:row>
      <xdr:rowOff>1465</xdr:rowOff>
    </xdr:to>
    <xdr:grpSp>
      <xdr:nvGrpSpPr>
        <xdr:cNvPr id="6" name="Navbar A">
          <a:extLst>
            <a:ext uri="{FF2B5EF4-FFF2-40B4-BE49-F238E27FC236}">
              <a16:creationId xmlns:a16="http://schemas.microsoft.com/office/drawing/2014/main" id="{00000000-0008-0000-0200-000006000000}"/>
            </a:ext>
          </a:extLst>
        </xdr:cNvPr>
        <xdr:cNvGrpSpPr/>
      </xdr:nvGrpSpPr>
      <xdr:grpSpPr>
        <a:xfrm>
          <a:off x="407865" y="205896"/>
          <a:ext cx="10948015" cy="265469"/>
          <a:chOff x="361950" y="205371"/>
          <a:chExt cx="9662855" cy="270879"/>
        </a:xfrm>
      </xdr:grpSpPr>
      <xdr:sp macro="" textlink="">
        <xdr:nvSpPr>
          <xdr:cNvPr id="7" name="0 Home-Button">
            <a:hlinkClick xmlns:r="http://schemas.openxmlformats.org/officeDocument/2006/relationships" r:id="rId7" tooltip="Klicken, um zur Startseite zu gelangen."/>
            <a:extLst>
              <a:ext uri="{FF2B5EF4-FFF2-40B4-BE49-F238E27FC236}">
                <a16:creationId xmlns:a16="http://schemas.microsoft.com/office/drawing/2014/main" id="{00000000-0008-0000-0200-000007000000}"/>
              </a:ext>
            </a:extLst>
          </xdr:cNvPr>
          <xdr:cNvSpPr/>
        </xdr:nvSpPr>
        <xdr:spPr>
          <a:xfrm>
            <a:off x="361950" y="205371"/>
            <a:ext cx="1950691" cy="269066"/>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8" name="Home-Button">
            <a:hlinkClick xmlns:r="http://schemas.openxmlformats.org/officeDocument/2006/relationships" r:id="rId7" tooltip="Klicken, um zur Startseite zu gelangen."/>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
          <a:srcRect/>
          <a:stretch/>
        </xdr:blipFill>
        <xdr:spPr>
          <a:xfrm>
            <a:off x="453899" y="262635"/>
            <a:ext cx="215823" cy="173413"/>
          </a:xfrm>
          <a:prstGeom prst="rect">
            <a:avLst/>
          </a:prstGeom>
        </xdr:spPr>
      </xdr:pic>
      <xdr:sp macro="" textlink="">
        <xdr:nvSpPr>
          <xdr:cNvPr id="10" name="00 Bestan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200-00000A000000}"/>
              </a:ext>
            </a:extLst>
          </xdr:cNvPr>
          <xdr:cNvSpPr/>
        </xdr:nvSpPr>
        <xdr:spPr>
          <a:xfrm>
            <a:off x="744174" y="205371"/>
            <a:ext cx="1949150" cy="269066"/>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11" name="123 Bestand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200-00000B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12" name="A Bestandseingabe">
            <a:extLst>
              <a:ext uri="{FF2B5EF4-FFF2-40B4-BE49-F238E27FC236}">
                <a16:creationId xmlns:a16="http://schemas.microsoft.com/office/drawing/2014/main" id="{00000000-0008-0000-0200-00000C000000}"/>
              </a:ext>
            </a:extLst>
          </xdr:cNvPr>
          <xdr:cNvSpPr/>
        </xdr:nvSpPr>
        <xdr:spPr>
          <a:xfrm>
            <a:off x="1097226" y="205371"/>
            <a:ext cx="1842297"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A ▪</a:t>
            </a:r>
            <a:r>
              <a:rPr lang="de-DE" sz="1300" b="0" baseline="0">
                <a:solidFill>
                  <a:schemeClr val="bg1"/>
                </a:solidFill>
                <a:effectLst/>
                <a:latin typeface="+mn-lt"/>
                <a:ea typeface="+mn-ea"/>
                <a:cs typeface="+mn-cs"/>
              </a:rPr>
              <a:t> </a:t>
            </a:r>
            <a:r>
              <a:rPr lang="de-DE" sz="1300" b="0">
                <a:solidFill>
                  <a:schemeClr val="bg1"/>
                </a:solidFill>
                <a:effectLst/>
                <a:latin typeface="+mn-lt"/>
                <a:ea typeface="+mn-ea"/>
                <a:cs typeface="+mn-cs"/>
              </a:rPr>
              <a:t>Bestandseingabe</a:t>
            </a:r>
            <a:endParaRPr lang="de-DE" sz="1300" b="0">
              <a:solidFill>
                <a:schemeClr val="bg1"/>
              </a:solidFill>
              <a:effectLst/>
            </a:endParaRPr>
          </a:p>
        </xdr:txBody>
      </xdr:sp>
      <xdr:sp macro="" textlink="">
        <xdr:nvSpPr>
          <xdr:cNvPr id="27" name="B Parametereingabe">
            <a:hlinkClick xmlns:r="http://schemas.openxmlformats.org/officeDocument/2006/relationships" r:id="rId5" tooltip="Klicken, um zu Teil B zu gelangen."/>
            <a:extLst>
              <a:ext uri="{FF2B5EF4-FFF2-40B4-BE49-F238E27FC236}">
                <a16:creationId xmlns:a16="http://schemas.microsoft.com/office/drawing/2014/main" id="{00000000-0008-0000-0200-00001B000000}"/>
              </a:ext>
            </a:extLst>
          </xdr:cNvPr>
          <xdr:cNvSpPr/>
        </xdr:nvSpPr>
        <xdr:spPr>
          <a:xfrm>
            <a:off x="2599818" y="205371"/>
            <a:ext cx="1983725"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28" name="C Ergebnisjustierung">
            <a:hlinkClick xmlns:r="http://schemas.openxmlformats.org/officeDocument/2006/relationships" r:id="rId10" tooltip="Klicken, um zu Teil C zu gelangen."/>
            <a:extLst>
              <a:ext uri="{FF2B5EF4-FFF2-40B4-BE49-F238E27FC236}">
                <a16:creationId xmlns:a16="http://schemas.microsoft.com/office/drawing/2014/main" id="{00000000-0008-0000-0200-00001C000000}"/>
              </a:ext>
            </a:extLst>
          </xdr:cNvPr>
          <xdr:cNvSpPr/>
        </xdr:nvSpPr>
        <xdr:spPr>
          <a:xfrm>
            <a:off x="4191608" y="205371"/>
            <a:ext cx="1915926"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29" name="D Kostenanalyse">
            <a:hlinkClick xmlns:r="http://schemas.openxmlformats.org/officeDocument/2006/relationships" r:id="rId11" tooltip="Klicken, um zu Teil D zu gelangen."/>
            <a:extLst>
              <a:ext uri="{FF2B5EF4-FFF2-40B4-BE49-F238E27FC236}">
                <a16:creationId xmlns:a16="http://schemas.microsoft.com/office/drawing/2014/main" id="{00000000-0008-0000-0200-00001D000000}"/>
              </a:ext>
            </a:extLst>
          </xdr:cNvPr>
          <xdr:cNvSpPr/>
        </xdr:nvSpPr>
        <xdr:spPr>
          <a:xfrm>
            <a:off x="5791663" y="205371"/>
            <a:ext cx="1601783"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30" name="E1 Checklisten">
            <a:hlinkClick xmlns:r="http://schemas.openxmlformats.org/officeDocument/2006/relationships" r:id="rId12" tooltip="Klicken, um zu Teil E1 zu gelangen."/>
            <a:extLst>
              <a:ext uri="{FF2B5EF4-FFF2-40B4-BE49-F238E27FC236}">
                <a16:creationId xmlns:a16="http://schemas.microsoft.com/office/drawing/2014/main" id="{00000000-0008-0000-0200-00001E000000}"/>
              </a:ext>
            </a:extLst>
          </xdr:cNvPr>
          <xdr:cNvSpPr/>
        </xdr:nvSpPr>
        <xdr:spPr>
          <a:xfrm>
            <a:off x="7117752"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31"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200-00001F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 ▪ Checklisten</a:t>
            </a:r>
            <a:endParaRPr lang="de-DE" sz="1300" b="0">
              <a:solidFill>
                <a:schemeClr val="accent3">
                  <a:lumMod val="50000"/>
                </a:schemeClr>
              </a:solidFill>
              <a:effectLst/>
            </a:endParaRPr>
          </a:p>
        </xdr:txBody>
      </xdr:sp>
      <xdr:sp macro="" textlink="">
        <xdr:nvSpPr>
          <xdr:cNvPr id="32"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200-000020000000}"/>
              </a:ext>
            </a:extLst>
          </xdr:cNvPr>
          <xdr:cNvSpPr/>
        </xdr:nvSpPr>
        <xdr:spPr>
          <a:xfrm>
            <a:off x="8847298" y="205371"/>
            <a:ext cx="117750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107</xdr:row>
      <xdr:rowOff>131359</xdr:rowOff>
    </xdr:from>
    <xdr:to>
      <xdr:col>24</xdr:col>
      <xdr:colOff>2939</xdr:colOff>
      <xdr:row>108</xdr:row>
      <xdr:rowOff>328448</xdr:rowOff>
    </xdr:to>
    <xdr:grpSp>
      <xdr:nvGrpSpPr>
        <xdr:cNvPr id="13" name="Footer">
          <a:extLst>
            <a:ext uri="{FF2B5EF4-FFF2-40B4-BE49-F238E27FC236}">
              <a16:creationId xmlns:a16="http://schemas.microsoft.com/office/drawing/2014/main" id="{00000000-0008-0000-0300-00000D000000}"/>
            </a:ext>
          </a:extLst>
        </xdr:cNvPr>
        <xdr:cNvGrpSpPr/>
      </xdr:nvGrpSpPr>
      <xdr:grpSpPr>
        <a:xfrm>
          <a:off x="0" y="20984759"/>
          <a:ext cx="14684139" cy="768589"/>
          <a:chOff x="0" y="58124935"/>
          <a:chExt cx="12915900" cy="768140"/>
        </a:xfrm>
      </xdr:grpSpPr>
      <xdr:sp macro="" textlink="">
        <xdr:nvSpPr>
          <xdr:cNvPr id="14" name="Spacer Footer">
            <a:extLst>
              <a:ext uri="{FF2B5EF4-FFF2-40B4-BE49-F238E27FC236}">
                <a16:creationId xmlns:a16="http://schemas.microsoft.com/office/drawing/2014/main" id="{00000000-0008-0000-0300-00000E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5" name="LOGO BStext">
            <a:hlinkClick xmlns:r="http://schemas.openxmlformats.org/officeDocument/2006/relationships" r:id="rId1"/>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6" name="LOGO IFP">
            <a:hlinkClick xmlns:r="http://schemas.openxmlformats.org/officeDocument/2006/relationships" r:id="rId3"/>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xdr:from>
      <xdr:col>3</xdr:col>
      <xdr:colOff>0</xdr:colOff>
      <xdr:row>104</xdr:row>
      <xdr:rowOff>0</xdr:rowOff>
    </xdr:from>
    <xdr:to>
      <xdr:col>19</xdr:col>
      <xdr:colOff>0</xdr:colOff>
      <xdr:row>105</xdr:row>
      <xdr:rowOff>0</xdr:rowOff>
    </xdr:to>
    <xdr:sp macro="" textlink="">
      <xdr:nvSpPr>
        <xdr:cNvPr id="10" name="Button nächste Seite">
          <a:hlinkClick xmlns:r="http://schemas.openxmlformats.org/officeDocument/2006/relationships" r:id="rId5" tooltip="Klicken, um zu Teil C zu gelangen."/>
          <a:extLst>
            <a:ext uri="{FF2B5EF4-FFF2-40B4-BE49-F238E27FC236}">
              <a16:creationId xmlns:a16="http://schemas.microsoft.com/office/drawing/2014/main" id="{00000000-0008-0000-0300-00000A000000}"/>
            </a:ext>
          </a:extLst>
        </xdr:cNvPr>
        <xdr:cNvSpPr/>
      </xdr:nvSpPr>
      <xdr:spPr>
        <a:xfrm>
          <a:off x="1009650" y="7296150"/>
          <a:ext cx="10363200" cy="304800"/>
        </a:xfrm>
        <a:prstGeom prst="roundRect">
          <a:avLst/>
        </a:prstGeom>
        <a:solidFill>
          <a:schemeClr val="accent3">
            <a:lumMod val="40000"/>
            <a:lumOff val="60000"/>
          </a:schemeClr>
        </a:solidFill>
        <a:ln>
          <a:solidFill>
            <a:schemeClr val="accent3">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200" b="0" kern="0" spc="100" baseline="0">
              <a:solidFill>
                <a:schemeClr val="accent3">
                  <a:lumMod val="50000"/>
                </a:schemeClr>
              </a:solidFill>
            </a:rPr>
            <a:t>Eingabe abschließen und weiter zu Teil C – Ergebnisjustierung (Sie können Ihre Eingaben jederzeit ändern).</a:t>
          </a:r>
        </a:p>
      </xdr:txBody>
    </xdr:sp>
    <xdr:clientData/>
  </xdr:twoCellAnchor>
  <xdr:twoCellAnchor editAs="oneCell">
    <xdr:from>
      <xdr:col>23</xdr:col>
      <xdr:colOff>78280</xdr:colOff>
      <xdr:row>4</xdr:row>
      <xdr:rowOff>0</xdr:rowOff>
    </xdr:from>
    <xdr:to>
      <xdr:col>23</xdr:col>
      <xdr:colOff>474280</xdr:colOff>
      <xdr:row>13</xdr:row>
      <xdr:rowOff>113100</xdr:rowOff>
    </xdr:to>
    <xdr:pic>
      <xdr:nvPicPr>
        <xdr:cNvPr id="17" name="LOGO IFP SB">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6"/>
        <a:stretch>
          <a:fillRect/>
        </a:stretch>
      </xdr:blipFill>
      <xdr:spPr>
        <a:xfrm rot="5400000">
          <a:off x="11725930" y="1534950"/>
          <a:ext cx="1980000" cy="396000"/>
        </a:xfrm>
        <a:prstGeom prst="rect">
          <a:avLst/>
        </a:prstGeom>
      </xdr:spPr>
    </xdr:pic>
    <xdr:clientData/>
  </xdr:twoCellAnchor>
  <xdr:twoCellAnchor editAs="absolute">
    <xdr:from>
      <xdr:col>23</xdr:col>
      <xdr:colOff>1970</xdr:colOff>
      <xdr:row>13</xdr:row>
      <xdr:rowOff>104775</xdr:rowOff>
    </xdr:from>
    <xdr:to>
      <xdr:col>24</xdr:col>
      <xdr:colOff>0</xdr:colOff>
      <xdr:row>17</xdr:row>
      <xdr:rowOff>59893</xdr:rowOff>
    </xdr:to>
    <xdr:sp macro="" textlink="">
      <xdr:nvSpPr>
        <xdr:cNvPr id="18" name="Spacer">
          <a:extLst>
            <a:ext uri="{FF2B5EF4-FFF2-40B4-BE49-F238E27FC236}">
              <a16:creationId xmlns:a16="http://schemas.microsoft.com/office/drawing/2014/main" id="{00000000-0008-0000-0300-000012000000}"/>
            </a:ext>
          </a:extLst>
        </xdr:cNvPr>
        <xdr:cNvSpPr/>
      </xdr:nvSpPr>
      <xdr:spPr>
        <a:xfrm>
          <a:off x="12441620" y="2714625"/>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26" name="Spacer">
          <a:extLst>
            <a:ext uri="{FF2B5EF4-FFF2-40B4-BE49-F238E27FC236}">
              <a16:creationId xmlns:a16="http://schemas.microsoft.com/office/drawing/2014/main" id="{00000000-0008-0000-0300-00001A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1</xdr:col>
      <xdr:colOff>247135</xdr:colOff>
      <xdr:row>0</xdr:row>
      <xdr:rowOff>204788</xdr:rowOff>
    </xdr:from>
    <xdr:to>
      <xdr:col>16</xdr:col>
      <xdr:colOff>638109</xdr:colOff>
      <xdr:row>1</xdr:row>
      <xdr:rowOff>0</xdr:rowOff>
    </xdr:to>
    <xdr:grpSp>
      <xdr:nvGrpSpPr>
        <xdr:cNvPr id="6" name="Navbar B">
          <a:extLst>
            <a:ext uri="{FF2B5EF4-FFF2-40B4-BE49-F238E27FC236}">
              <a16:creationId xmlns:a16="http://schemas.microsoft.com/office/drawing/2014/main" id="{00000000-0008-0000-0300-000006000000}"/>
            </a:ext>
          </a:extLst>
        </xdr:cNvPr>
        <xdr:cNvGrpSpPr/>
      </xdr:nvGrpSpPr>
      <xdr:grpSpPr>
        <a:xfrm>
          <a:off x="374135" y="204788"/>
          <a:ext cx="10982774" cy="265112"/>
          <a:chOff x="361950" y="205371"/>
          <a:chExt cx="9662855" cy="270879"/>
        </a:xfrm>
      </xdr:grpSpPr>
      <xdr:sp macro="" textlink="">
        <xdr:nvSpPr>
          <xdr:cNvPr id="7" name="0 Home-Button">
            <a:hlinkClick xmlns:r="http://schemas.openxmlformats.org/officeDocument/2006/relationships" r:id="rId7" tooltip="Klicken, um zur Startseite zu gelangen."/>
            <a:extLst>
              <a:ext uri="{FF2B5EF4-FFF2-40B4-BE49-F238E27FC236}">
                <a16:creationId xmlns:a16="http://schemas.microsoft.com/office/drawing/2014/main" id="{00000000-0008-0000-0300-000007000000}"/>
              </a:ext>
            </a:extLst>
          </xdr:cNvPr>
          <xdr:cNvSpPr/>
        </xdr:nvSpPr>
        <xdr:spPr>
          <a:xfrm>
            <a:off x="361950" y="205371"/>
            <a:ext cx="1950691"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8" name="Home-Button">
            <a:hlinkClick xmlns:r="http://schemas.openxmlformats.org/officeDocument/2006/relationships" r:id="rId7" tooltip="Klicken, um zur Startseite zu gelangen."/>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8"/>
          <a:srcRect/>
          <a:stretch/>
        </xdr:blipFill>
        <xdr:spPr>
          <a:xfrm>
            <a:off x="453899" y="262635"/>
            <a:ext cx="215823" cy="173413"/>
          </a:xfrm>
          <a:prstGeom prst="rect">
            <a:avLst/>
          </a:prstGeom>
        </xdr:spPr>
      </xdr:pic>
      <xdr:sp macro="" textlink="">
        <xdr:nvSpPr>
          <xdr:cNvPr id="9" name="00 Bestan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300-000009000000}"/>
              </a:ext>
            </a:extLst>
          </xdr:cNvPr>
          <xdr:cNvSpPr/>
        </xdr:nvSpPr>
        <xdr:spPr>
          <a:xfrm>
            <a:off x="744174" y="205371"/>
            <a:ext cx="1949150"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11" name="123 Bestand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300-00000B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12" name="A Bestandseingabe">
            <a:hlinkClick xmlns:r="http://schemas.openxmlformats.org/officeDocument/2006/relationships" r:id="rId10" tooltip="Klicken, um zu Teil A zu gelangen."/>
            <a:extLst>
              <a:ext uri="{FF2B5EF4-FFF2-40B4-BE49-F238E27FC236}">
                <a16:creationId xmlns:a16="http://schemas.microsoft.com/office/drawing/2014/main" id="{00000000-0008-0000-0300-00000C000000}"/>
              </a:ext>
            </a:extLst>
          </xdr:cNvPr>
          <xdr:cNvSpPr/>
        </xdr:nvSpPr>
        <xdr:spPr>
          <a:xfrm>
            <a:off x="1097226" y="205371"/>
            <a:ext cx="184229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27" name="B Parametereingabe">
            <a:extLst>
              <a:ext uri="{FF2B5EF4-FFF2-40B4-BE49-F238E27FC236}">
                <a16:creationId xmlns:a16="http://schemas.microsoft.com/office/drawing/2014/main" id="{00000000-0008-0000-0300-00001B000000}"/>
              </a:ext>
            </a:extLst>
          </xdr:cNvPr>
          <xdr:cNvSpPr/>
        </xdr:nvSpPr>
        <xdr:spPr>
          <a:xfrm>
            <a:off x="2599818" y="205371"/>
            <a:ext cx="1983725"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B ▪ Parametereingabe</a:t>
            </a:r>
            <a:endParaRPr lang="de-DE" sz="1300" b="0">
              <a:solidFill>
                <a:schemeClr val="bg1"/>
              </a:solidFill>
              <a:effectLst/>
            </a:endParaRPr>
          </a:p>
        </xdr:txBody>
      </xdr:sp>
      <xdr:sp macro="" textlink="">
        <xdr:nvSpPr>
          <xdr:cNvPr id="28" name="C Ergebnisjustierung">
            <a:hlinkClick xmlns:r="http://schemas.openxmlformats.org/officeDocument/2006/relationships" r:id="rId5" tooltip="Klicken, um zu Teil C zu gelangen."/>
            <a:extLst>
              <a:ext uri="{FF2B5EF4-FFF2-40B4-BE49-F238E27FC236}">
                <a16:creationId xmlns:a16="http://schemas.microsoft.com/office/drawing/2014/main" id="{00000000-0008-0000-0300-00001C000000}"/>
              </a:ext>
            </a:extLst>
          </xdr:cNvPr>
          <xdr:cNvSpPr/>
        </xdr:nvSpPr>
        <xdr:spPr>
          <a:xfrm>
            <a:off x="4191608" y="205371"/>
            <a:ext cx="1915926"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29" name="D Kostenanalyse">
            <a:hlinkClick xmlns:r="http://schemas.openxmlformats.org/officeDocument/2006/relationships" r:id="rId11" tooltip="Klicken, um zu Teil D zu gelangen."/>
            <a:extLst>
              <a:ext uri="{FF2B5EF4-FFF2-40B4-BE49-F238E27FC236}">
                <a16:creationId xmlns:a16="http://schemas.microsoft.com/office/drawing/2014/main" id="{00000000-0008-0000-0300-00001D000000}"/>
              </a:ext>
            </a:extLst>
          </xdr:cNvPr>
          <xdr:cNvSpPr/>
        </xdr:nvSpPr>
        <xdr:spPr>
          <a:xfrm>
            <a:off x="5791663" y="205371"/>
            <a:ext cx="1601783"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30" name="E1 Checklisten">
            <a:hlinkClick xmlns:r="http://schemas.openxmlformats.org/officeDocument/2006/relationships" r:id="rId12" tooltip="Klicken, um zu Teil E1 zu gelangen."/>
            <a:extLst>
              <a:ext uri="{FF2B5EF4-FFF2-40B4-BE49-F238E27FC236}">
                <a16:creationId xmlns:a16="http://schemas.microsoft.com/office/drawing/2014/main" id="{00000000-0008-0000-0300-00001E000000}"/>
              </a:ext>
            </a:extLst>
          </xdr:cNvPr>
          <xdr:cNvSpPr/>
        </xdr:nvSpPr>
        <xdr:spPr>
          <a:xfrm>
            <a:off x="7117752"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31"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300-00001F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 ▪ Checklisten</a:t>
            </a:r>
            <a:endParaRPr lang="de-DE" sz="1300" b="0">
              <a:solidFill>
                <a:schemeClr val="accent3">
                  <a:lumMod val="50000"/>
                </a:schemeClr>
              </a:solidFill>
              <a:effectLst/>
            </a:endParaRPr>
          </a:p>
        </xdr:txBody>
      </xdr:sp>
      <xdr:sp macro="" textlink="">
        <xdr:nvSpPr>
          <xdr:cNvPr id="32"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300-000020000000}"/>
              </a:ext>
            </a:extLst>
          </xdr:cNvPr>
          <xdr:cNvSpPr/>
        </xdr:nvSpPr>
        <xdr:spPr>
          <a:xfrm>
            <a:off x="8847298" y="205371"/>
            <a:ext cx="117750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178</xdr:row>
      <xdr:rowOff>127210</xdr:rowOff>
    </xdr:from>
    <xdr:to>
      <xdr:col>24</xdr:col>
      <xdr:colOff>0</xdr:colOff>
      <xdr:row>179</xdr:row>
      <xdr:rowOff>323850</xdr:rowOff>
    </xdr:to>
    <xdr:grpSp>
      <xdr:nvGrpSpPr>
        <xdr:cNvPr id="15" name="Footer">
          <a:extLst>
            <a:ext uri="{FF2B5EF4-FFF2-40B4-BE49-F238E27FC236}">
              <a16:creationId xmlns:a16="http://schemas.microsoft.com/office/drawing/2014/main" id="{00000000-0008-0000-0400-00000F000000}"/>
            </a:ext>
          </a:extLst>
        </xdr:cNvPr>
        <xdr:cNvGrpSpPr/>
      </xdr:nvGrpSpPr>
      <xdr:grpSpPr>
        <a:xfrm>
          <a:off x="0" y="38366910"/>
          <a:ext cx="14681200" cy="768140"/>
          <a:chOff x="0" y="58124935"/>
          <a:chExt cx="12915900" cy="768140"/>
        </a:xfrm>
      </xdr:grpSpPr>
      <xdr:sp macro="" textlink="">
        <xdr:nvSpPr>
          <xdr:cNvPr id="16" name="Spacer Footer">
            <a:extLst>
              <a:ext uri="{FF2B5EF4-FFF2-40B4-BE49-F238E27FC236}">
                <a16:creationId xmlns:a16="http://schemas.microsoft.com/office/drawing/2014/main" id="{00000000-0008-0000-0400-000010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7" name="LOGO BStext">
            <a:hlinkClick xmlns:r="http://schemas.openxmlformats.org/officeDocument/2006/relationships" r:id="rId1"/>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8" name="LOGO IFP">
            <a:hlinkClick xmlns:r="http://schemas.openxmlformats.org/officeDocument/2006/relationships" r:id="rId3"/>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xdr:from>
      <xdr:col>3</xdr:col>
      <xdr:colOff>0</xdr:colOff>
      <xdr:row>175</xdr:row>
      <xdr:rowOff>0</xdr:rowOff>
    </xdr:from>
    <xdr:to>
      <xdr:col>19</xdr:col>
      <xdr:colOff>0</xdr:colOff>
      <xdr:row>176</xdr:row>
      <xdr:rowOff>0</xdr:rowOff>
    </xdr:to>
    <xdr:sp macro="" textlink="">
      <xdr:nvSpPr>
        <xdr:cNvPr id="8" name="Button nächste Seite">
          <a:hlinkClick xmlns:r="http://schemas.openxmlformats.org/officeDocument/2006/relationships" r:id="rId5" tooltip="Klicken, um zu Teil D zu gelangen."/>
          <a:extLst>
            <a:ext uri="{FF2B5EF4-FFF2-40B4-BE49-F238E27FC236}">
              <a16:creationId xmlns:a16="http://schemas.microsoft.com/office/drawing/2014/main" id="{00000000-0008-0000-0400-000008000000}"/>
            </a:ext>
          </a:extLst>
        </xdr:cNvPr>
        <xdr:cNvSpPr/>
      </xdr:nvSpPr>
      <xdr:spPr>
        <a:xfrm>
          <a:off x="1009650" y="36947475"/>
          <a:ext cx="10363200" cy="304800"/>
        </a:xfrm>
        <a:prstGeom prst="roundRect">
          <a:avLst/>
        </a:prstGeom>
        <a:solidFill>
          <a:schemeClr val="accent3">
            <a:lumMod val="40000"/>
            <a:lumOff val="60000"/>
          </a:schemeClr>
        </a:solidFill>
        <a:ln>
          <a:solidFill>
            <a:schemeClr val="accent3">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200" b="0" kern="0" spc="100" baseline="0">
              <a:solidFill>
                <a:schemeClr val="accent3">
                  <a:lumMod val="50000"/>
                </a:schemeClr>
              </a:solidFill>
            </a:rPr>
            <a:t>Eingabe abschließen und weiter zu Teil D – Kostenanalyse (Sie können Ihre Eingaben jederzeit ändern).</a:t>
          </a:r>
        </a:p>
      </xdr:txBody>
    </xdr:sp>
    <xdr:clientData/>
  </xdr:twoCellAnchor>
  <xdr:twoCellAnchor>
    <xdr:from>
      <xdr:col>8</xdr:col>
      <xdr:colOff>0</xdr:colOff>
      <xdr:row>162</xdr:row>
      <xdr:rowOff>265696</xdr:rowOff>
    </xdr:from>
    <xdr:to>
      <xdr:col>8</xdr:col>
      <xdr:colOff>200525</xdr:colOff>
      <xdr:row>166</xdr:row>
      <xdr:rowOff>265696</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4241132" y="33016657"/>
          <a:ext cx="200525" cy="1062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72000" rIns="0" bIns="0" rtlCol="0" anchor="t"/>
        <a:lstStyle/>
        <a:p>
          <a:r>
            <a:rPr lang="de-DE" sz="1000" i="0">
              <a:solidFill>
                <a:schemeClr val="bg2">
                  <a:lumMod val="75000"/>
                </a:schemeClr>
              </a:solidFill>
            </a:rPr>
            <a:t>←</a:t>
          </a:r>
        </a:p>
        <a:p>
          <a:endParaRPr lang="de-DE" sz="700" i="0">
            <a:solidFill>
              <a:schemeClr val="bg2">
                <a:lumMod val="75000"/>
              </a:schemeClr>
            </a:solidFill>
          </a:endParaRPr>
        </a:p>
        <a:p>
          <a:r>
            <a:rPr lang="de-DE" sz="1000" i="0">
              <a:solidFill>
                <a:schemeClr val="bg2">
                  <a:lumMod val="75000"/>
                </a:schemeClr>
              </a:solidFill>
              <a:effectLst/>
              <a:latin typeface="+mn-lt"/>
              <a:ea typeface="+mn-ea"/>
              <a:cs typeface="+mn-cs"/>
            </a:rPr>
            <a:t>←</a:t>
          </a:r>
        </a:p>
        <a:p>
          <a:endParaRPr lang="de-DE" sz="700" i="0">
            <a:solidFill>
              <a:schemeClr val="bg2">
                <a:lumMod val="75000"/>
              </a:schemeClr>
            </a:solidFill>
            <a:effectLst/>
            <a:latin typeface="+mn-lt"/>
            <a:ea typeface="+mn-ea"/>
            <a:cs typeface="+mn-cs"/>
          </a:endParaRPr>
        </a:p>
        <a:p>
          <a:r>
            <a:rPr lang="de-DE" sz="1000" i="0">
              <a:solidFill>
                <a:schemeClr val="bg2">
                  <a:lumMod val="75000"/>
                </a:schemeClr>
              </a:solidFill>
              <a:effectLst/>
              <a:latin typeface="+mn-lt"/>
              <a:ea typeface="+mn-ea"/>
              <a:cs typeface="+mn-cs"/>
            </a:rPr>
            <a:t>←</a:t>
          </a:r>
        </a:p>
        <a:p>
          <a:endParaRPr lang="de-DE" sz="700" i="0">
            <a:solidFill>
              <a:schemeClr val="bg2">
                <a:lumMod val="75000"/>
              </a:schemeClr>
            </a:solidFill>
            <a:effectLst/>
            <a:latin typeface="+mn-lt"/>
            <a:ea typeface="+mn-ea"/>
            <a:cs typeface="+mn-cs"/>
          </a:endParaRPr>
        </a:p>
        <a:p>
          <a:r>
            <a:rPr lang="de-DE" sz="1000" i="0">
              <a:solidFill>
                <a:schemeClr val="bg2">
                  <a:lumMod val="75000"/>
                </a:schemeClr>
              </a:solidFill>
              <a:effectLst/>
              <a:latin typeface="+mn-lt"/>
              <a:ea typeface="+mn-ea"/>
              <a:cs typeface="+mn-cs"/>
            </a:rPr>
            <a:t>←</a:t>
          </a:r>
          <a:endParaRPr lang="de-DE" sz="1000" i="0">
            <a:solidFill>
              <a:schemeClr val="bg2">
                <a:lumMod val="75000"/>
              </a:schemeClr>
            </a:solidFill>
          </a:endParaRPr>
        </a:p>
      </xdr:txBody>
    </xdr:sp>
    <xdr:clientData/>
  </xdr:twoCellAnchor>
  <xdr:twoCellAnchor>
    <xdr:from>
      <xdr:col>18</xdr:col>
      <xdr:colOff>1</xdr:colOff>
      <xdr:row>162</xdr:row>
      <xdr:rowOff>267889</xdr:rowOff>
    </xdr:from>
    <xdr:to>
      <xdr:col>18</xdr:col>
      <xdr:colOff>173935</xdr:colOff>
      <xdr:row>166</xdr:row>
      <xdr:rowOff>267890</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10745392" y="32682655"/>
          <a:ext cx="173934" cy="1071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72000" rIns="0" bIns="0" rtlCol="0" anchor="t"/>
        <a:lstStyle/>
        <a:p>
          <a:r>
            <a:rPr lang="de-DE" sz="1000" i="0">
              <a:solidFill>
                <a:schemeClr val="bg2">
                  <a:lumMod val="75000"/>
                </a:schemeClr>
              </a:solidFill>
            </a:rPr>
            <a:t>←</a:t>
          </a:r>
        </a:p>
        <a:p>
          <a:endParaRPr lang="de-DE" sz="700" i="0">
            <a:solidFill>
              <a:schemeClr val="bg2">
                <a:lumMod val="75000"/>
              </a:schemeClr>
            </a:solidFill>
          </a:endParaRPr>
        </a:p>
        <a:p>
          <a:r>
            <a:rPr lang="de-DE" sz="1000" i="0">
              <a:solidFill>
                <a:schemeClr val="bg2">
                  <a:lumMod val="75000"/>
                </a:schemeClr>
              </a:solidFill>
              <a:effectLst/>
              <a:latin typeface="+mn-lt"/>
              <a:ea typeface="+mn-ea"/>
              <a:cs typeface="+mn-cs"/>
            </a:rPr>
            <a:t>←</a:t>
          </a:r>
        </a:p>
        <a:p>
          <a:endParaRPr lang="de-DE" sz="700" i="0">
            <a:solidFill>
              <a:schemeClr val="bg2">
                <a:lumMod val="75000"/>
              </a:schemeClr>
            </a:solidFill>
            <a:effectLst/>
            <a:latin typeface="+mn-lt"/>
            <a:ea typeface="+mn-ea"/>
            <a:cs typeface="+mn-cs"/>
          </a:endParaRPr>
        </a:p>
        <a:p>
          <a:r>
            <a:rPr lang="de-DE" sz="1000" i="0">
              <a:solidFill>
                <a:schemeClr val="bg2">
                  <a:lumMod val="75000"/>
                </a:schemeClr>
              </a:solidFill>
              <a:effectLst/>
              <a:latin typeface="+mn-lt"/>
              <a:ea typeface="+mn-ea"/>
              <a:cs typeface="+mn-cs"/>
            </a:rPr>
            <a:t>←</a:t>
          </a:r>
        </a:p>
        <a:p>
          <a:endParaRPr lang="de-DE" sz="700" i="0">
            <a:solidFill>
              <a:schemeClr val="bg2">
                <a:lumMod val="75000"/>
              </a:schemeClr>
            </a:solidFill>
            <a:effectLst/>
            <a:latin typeface="+mn-lt"/>
            <a:ea typeface="+mn-ea"/>
            <a:cs typeface="+mn-cs"/>
          </a:endParaRPr>
        </a:p>
        <a:p>
          <a:r>
            <a:rPr lang="de-DE" sz="1000" i="0">
              <a:solidFill>
                <a:schemeClr val="bg2">
                  <a:lumMod val="75000"/>
                </a:schemeClr>
              </a:solidFill>
              <a:effectLst/>
              <a:latin typeface="+mn-lt"/>
              <a:ea typeface="+mn-ea"/>
              <a:cs typeface="+mn-cs"/>
            </a:rPr>
            <a:t>←</a:t>
          </a:r>
          <a:endParaRPr lang="de-DE" sz="1000" i="0">
            <a:solidFill>
              <a:schemeClr val="bg2">
                <a:lumMod val="75000"/>
              </a:schemeClr>
            </a:solidFill>
          </a:endParaRPr>
        </a:p>
      </xdr:txBody>
    </xdr:sp>
    <xdr:clientData/>
  </xdr:twoCellAnchor>
  <xdr:twoCellAnchor editAs="oneCell">
    <xdr:from>
      <xdr:col>23</xdr:col>
      <xdr:colOff>87805</xdr:colOff>
      <xdr:row>4</xdr:row>
      <xdr:rowOff>0</xdr:rowOff>
    </xdr:from>
    <xdr:to>
      <xdr:col>24</xdr:col>
      <xdr:colOff>7555</xdr:colOff>
      <xdr:row>12</xdr:row>
      <xdr:rowOff>55950</xdr:rowOff>
    </xdr:to>
    <xdr:pic>
      <xdr:nvPicPr>
        <xdr:cNvPr id="19" name="LOGO IFP SB">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6"/>
        <a:stretch>
          <a:fillRect/>
        </a:stretch>
      </xdr:blipFill>
      <xdr:spPr>
        <a:xfrm rot="5400000">
          <a:off x="11735455" y="1534950"/>
          <a:ext cx="1980000" cy="396000"/>
        </a:xfrm>
        <a:prstGeom prst="rect">
          <a:avLst/>
        </a:prstGeom>
      </xdr:spPr>
    </xdr:pic>
    <xdr:clientData/>
  </xdr:twoCellAnchor>
  <xdr:twoCellAnchor editAs="absolute">
    <xdr:from>
      <xdr:col>23</xdr:col>
      <xdr:colOff>0</xdr:colOff>
      <xdr:row>12</xdr:row>
      <xdr:rowOff>55950</xdr:rowOff>
    </xdr:from>
    <xdr:to>
      <xdr:col>23</xdr:col>
      <xdr:colOff>474280</xdr:colOff>
      <xdr:row>15</xdr:row>
      <xdr:rowOff>182518</xdr:rowOff>
    </xdr:to>
    <xdr:sp macro="" textlink="">
      <xdr:nvSpPr>
        <xdr:cNvPr id="20" name="Spacer">
          <a:extLst>
            <a:ext uri="{FF2B5EF4-FFF2-40B4-BE49-F238E27FC236}">
              <a16:creationId xmlns:a16="http://schemas.microsoft.com/office/drawing/2014/main" id="{00000000-0008-0000-0400-000014000000}"/>
            </a:ext>
          </a:extLst>
        </xdr:cNvPr>
        <xdr:cNvSpPr/>
      </xdr:nvSpPr>
      <xdr:spPr>
        <a:xfrm>
          <a:off x="12439650" y="2722950"/>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28" name="Spacer">
          <a:extLst>
            <a:ext uri="{FF2B5EF4-FFF2-40B4-BE49-F238E27FC236}">
              <a16:creationId xmlns:a16="http://schemas.microsoft.com/office/drawing/2014/main" id="{00000000-0008-0000-0400-00001C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2</xdr:col>
      <xdr:colOff>1465</xdr:colOff>
      <xdr:row>0</xdr:row>
      <xdr:rowOff>208827</xdr:rowOff>
    </xdr:from>
    <xdr:to>
      <xdr:col>16</xdr:col>
      <xdr:colOff>637080</xdr:colOff>
      <xdr:row>1</xdr:row>
      <xdr:rowOff>1465</xdr:rowOff>
    </xdr:to>
    <xdr:grpSp>
      <xdr:nvGrpSpPr>
        <xdr:cNvPr id="7" name="Navbar C">
          <a:extLst>
            <a:ext uri="{FF2B5EF4-FFF2-40B4-BE49-F238E27FC236}">
              <a16:creationId xmlns:a16="http://schemas.microsoft.com/office/drawing/2014/main" id="{00000000-0008-0000-0400-000007000000}"/>
            </a:ext>
          </a:extLst>
        </xdr:cNvPr>
        <xdr:cNvGrpSpPr/>
      </xdr:nvGrpSpPr>
      <xdr:grpSpPr>
        <a:xfrm>
          <a:off x="407865" y="208827"/>
          <a:ext cx="10948015" cy="262538"/>
          <a:chOff x="361950" y="205371"/>
          <a:chExt cx="9662855" cy="270879"/>
        </a:xfrm>
      </xdr:grpSpPr>
      <xdr:sp macro="" textlink="">
        <xdr:nvSpPr>
          <xdr:cNvPr id="10" name="0 Home-Button">
            <a:hlinkClick xmlns:r="http://schemas.openxmlformats.org/officeDocument/2006/relationships" r:id="rId7" tooltip="Klicken, um zur Startseite zu gelangen."/>
            <a:extLst>
              <a:ext uri="{FF2B5EF4-FFF2-40B4-BE49-F238E27FC236}">
                <a16:creationId xmlns:a16="http://schemas.microsoft.com/office/drawing/2014/main" id="{00000000-0008-0000-0400-00000A000000}"/>
              </a:ext>
            </a:extLst>
          </xdr:cNvPr>
          <xdr:cNvSpPr/>
        </xdr:nvSpPr>
        <xdr:spPr>
          <a:xfrm>
            <a:off x="361950" y="205371"/>
            <a:ext cx="1950691"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11" name="Home-Button">
            <a:hlinkClick xmlns:r="http://schemas.openxmlformats.org/officeDocument/2006/relationships" r:id="rId7" tooltip="Klicken, um zur Startseite zu gelangen."/>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a:srcRect/>
          <a:stretch/>
        </xdr:blipFill>
        <xdr:spPr>
          <a:xfrm>
            <a:off x="453899" y="262635"/>
            <a:ext cx="215823" cy="173413"/>
          </a:xfrm>
          <a:prstGeom prst="rect">
            <a:avLst/>
          </a:prstGeom>
        </xdr:spPr>
      </xdr:pic>
      <xdr:sp macro="" textlink="">
        <xdr:nvSpPr>
          <xdr:cNvPr id="12" name="00 Bestan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400-00000C000000}"/>
              </a:ext>
            </a:extLst>
          </xdr:cNvPr>
          <xdr:cNvSpPr/>
        </xdr:nvSpPr>
        <xdr:spPr>
          <a:xfrm>
            <a:off x="744174" y="205371"/>
            <a:ext cx="1949150"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13" name="123 Bestand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400-00000D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14" name="A Bestandseingabe">
            <a:hlinkClick xmlns:r="http://schemas.openxmlformats.org/officeDocument/2006/relationships" r:id="rId10" tooltip="Klicken, um zu Teil A zu gelangen."/>
            <a:extLst>
              <a:ext uri="{FF2B5EF4-FFF2-40B4-BE49-F238E27FC236}">
                <a16:creationId xmlns:a16="http://schemas.microsoft.com/office/drawing/2014/main" id="{00000000-0008-0000-0400-00000E000000}"/>
              </a:ext>
            </a:extLst>
          </xdr:cNvPr>
          <xdr:cNvSpPr/>
        </xdr:nvSpPr>
        <xdr:spPr>
          <a:xfrm>
            <a:off x="1097226" y="205371"/>
            <a:ext cx="184229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29" name="B Parametereingabe">
            <a:hlinkClick xmlns:r="http://schemas.openxmlformats.org/officeDocument/2006/relationships" r:id="rId11" tooltip="Klicken, um zu Teil B zu gelangen."/>
            <a:extLst>
              <a:ext uri="{FF2B5EF4-FFF2-40B4-BE49-F238E27FC236}">
                <a16:creationId xmlns:a16="http://schemas.microsoft.com/office/drawing/2014/main" id="{00000000-0008-0000-0400-00001D000000}"/>
              </a:ext>
            </a:extLst>
          </xdr:cNvPr>
          <xdr:cNvSpPr/>
        </xdr:nvSpPr>
        <xdr:spPr>
          <a:xfrm>
            <a:off x="2599818" y="205371"/>
            <a:ext cx="1983725"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30" name="C Ergebnisjustierung">
            <a:extLst>
              <a:ext uri="{FF2B5EF4-FFF2-40B4-BE49-F238E27FC236}">
                <a16:creationId xmlns:a16="http://schemas.microsoft.com/office/drawing/2014/main" id="{00000000-0008-0000-0400-00001E000000}"/>
              </a:ext>
            </a:extLst>
          </xdr:cNvPr>
          <xdr:cNvSpPr/>
        </xdr:nvSpPr>
        <xdr:spPr>
          <a:xfrm>
            <a:off x="4191608" y="205371"/>
            <a:ext cx="1915926"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C ▪ Ergebnisjustierung</a:t>
            </a:r>
            <a:endParaRPr lang="de-DE" sz="1300" b="0">
              <a:solidFill>
                <a:schemeClr val="bg1"/>
              </a:solidFill>
              <a:effectLst/>
            </a:endParaRPr>
          </a:p>
        </xdr:txBody>
      </xdr:sp>
      <xdr:sp macro="" textlink="">
        <xdr:nvSpPr>
          <xdr:cNvPr id="31" name="D Kostenanalyse">
            <a:hlinkClick xmlns:r="http://schemas.openxmlformats.org/officeDocument/2006/relationships" r:id="rId5" tooltip="Klicken, um zu Teil D zu gelangen."/>
            <a:extLst>
              <a:ext uri="{FF2B5EF4-FFF2-40B4-BE49-F238E27FC236}">
                <a16:creationId xmlns:a16="http://schemas.microsoft.com/office/drawing/2014/main" id="{00000000-0008-0000-0400-00001F000000}"/>
              </a:ext>
            </a:extLst>
          </xdr:cNvPr>
          <xdr:cNvSpPr/>
        </xdr:nvSpPr>
        <xdr:spPr>
          <a:xfrm>
            <a:off x="5791663" y="205371"/>
            <a:ext cx="1601783"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32" name="E1 Checklisten">
            <a:hlinkClick xmlns:r="http://schemas.openxmlformats.org/officeDocument/2006/relationships" r:id="rId12" tooltip="Klicken, um zu Teil E1 zu gelangen."/>
            <a:extLst>
              <a:ext uri="{FF2B5EF4-FFF2-40B4-BE49-F238E27FC236}">
                <a16:creationId xmlns:a16="http://schemas.microsoft.com/office/drawing/2014/main" id="{00000000-0008-0000-0400-000020000000}"/>
              </a:ext>
            </a:extLst>
          </xdr:cNvPr>
          <xdr:cNvSpPr/>
        </xdr:nvSpPr>
        <xdr:spPr>
          <a:xfrm>
            <a:off x="7117752"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33"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400-000021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 ▪ Checklisten</a:t>
            </a:r>
            <a:endParaRPr lang="de-DE" sz="1300" b="0">
              <a:solidFill>
                <a:schemeClr val="accent3">
                  <a:lumMod val="50000"/>
                </a:schemeClr>
              </a:solidFill>
              <a:effectLst/>
            </a:endParaRPr>
          </a:p>
        </xdr:txBody>
      </xdr:sp>
      <xdr:sp macro="" textlink="">
        <xdr:nvSpPr>
          <xdr:cNvPr id="34"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400-000022000000}"/>
              </a:ext>
            </a:extLst>
          </xdr:cNvPr>
          <xdr:cNvSpPr/>
        </xdr:nvSpPr>
        <xdr:spPr>
          <a:xfrm>
            <a:off x="8847298" y="205371"/>
            <a:ext cx="117750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179</xdr:row>
      <xdr:rowOff>117685</xdr:rowOff>
    </xdr:from>
    <xdr:to>
      <xdr:col>24</xdr:col>
      <xdr:colOff>0</xdr:colOff>
      <xdr:row>180</xdr:row>
      <xdr:rowOff>314325</xdr:rowOff>
    </xdr:to>
    <xdr:grpSp>
      <xdr:nvGrpSpPr>
        <xdr:cNvPr id="12" name="Footer">
          <a:extLst>
            <a:ext uri="{FF2B5EF4-FFF2-40B4-BE49-F238E27FC236}">
              <a16:creationId xmlns:a16="http://schemas.microsoft.com/office/drawing/2014/main" id="{00000000-0008-0000-0500-00000C000000}"/>
            </a:ext>
          </a:extLst>
        </xdr:cNvPr>
        <xdr:cNvGrpSpPr/>
      </xdr:nvGrpSpPr>
      <xdr:grpSpPr>
        <a:xfrm>
          <a:off x="0" y="40529085"/>
          <a:ext cx="14681200" cy="768140"/>
          <a:chOff x="0" y="58124935"/>
          <a:chExt cx="12915900" cy="768140"/>
        </a:xfrm>
      </xdr:grpSpPr>
      <xdr:sp macro="" textlink="">
        <xdr:nvSpPr>
          <xdr:cNvPr id="13" name="Spacer Footer">
            <a:extLst>
              <a:ext uri="{FF2B5EF4-FFF2-40B4-BE49-F238E27FC236}">
                <a16:creationId xmlns:a16="http://schemas.microsoft.com/office/drawing/2014/main" id="{00000000-0008-0000-0500-00000D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4" name="LOGO BStext">
            <a:hlinkClick xmlns:r="http://schemas.openxmlformats.org/officeDocument/2006/relationships" r:id="rId1"/>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5" name="LOGO IFP">
            <a:hlinkClick xmlns:r="http://schemas.openxmlformats.org/officeDocument/2006/relationships" r:id="rId3"/>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xdr:from>
      <xdr:col>3</xdr:col>
      <xdr:colOff>295280</xdr:colOff>
      <xdr:row>47</xdr:row>
      <xdr:rowOff>0</xdr:rowOff>
    </xdr:from>
    <xdr:to>
      <xdr:col>4</xdr:col>
      <xdr:colOff>243238</xdr:colOff>
      <xdr:row>50</xdr:row>
      <xdr:rowOff>178011</xdr:rowOff>
    </xdr:to>
    <xdr:grpSp>
      <xdr:nvGrpSpPr>
        <xdr:cNvPr id="27" name="Pfeile">
          <a:extLst>
            <a:ext uri="{FF2B5EF4-FFF2-40B4-BE49-F238E27FC236}">
              <a16:creationId xmlns:a16="http://schemas.microsoft.com/office/drawing/2014/main" id="{00000000-0008-0000-0500-00001B000000}"/>
            </a:ext>
          </a:extLst>
        </xdr:cNvPr>
        <xdr:cNvGrpSpPr/>
      </xdr:nvGrpSpPr>
      <xdr:grpSpPr>
        <a:xfrm>
          <a:off x="1438280" y="9842500"/>
          <a:ext cx="684558" cy="940011"/>
          <a:chOff x="1304064" y="5095875"/>
          <a:chExt cx="597390" cy="918363"/>
        </a:xfrm>
      </xdr:grpSpPr>
      <xdr:sp macro="" textlink="">
        <xdr:nvSpPr>
          <xdr:cNvPr id="7" name="Arrow: Bent-Up 6">
            <a:extLst>
              <a:ext uri="{FF2B5EF4-FFF2-40B4-BE49-F238E27FC236}">
                <a16:creationId xmlns:a16="http://schemas.microsoft.com/office/drawing/2014/main" id="{00000000-0008-0000-0500-000007000000}"/>
              </a:ext>
            </a:extLst>
          </xdr:cNvPr>
          <xdr:cNvSpPr/>
        </xdr:nvSpPr>
        <xdr:spPr>
          <a:xfrm rot="5400000">
            <a:off x="1302279" y="5097660"/>
            <a:ext cx="177401" cy="173832"/>
          </a:xfrm>
          <a:prstGeom prst="bentUpArrow">
            <a:avLst>
              <a:gd name="adj1" fmla="val 17629"/>
              <a:gd name="adj2" fmla="val 30389"/>
              <a:gd name="adj3" fmla="val 4315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8" name="Arrow: Bent-Up 7">
            <a:extLst>
              <a:ext uri="{FF2B5EF4-FFF2-40B4-BE49-F238E27FC236}">
                <a16:creationId xmlns:a16="http://schemas.microsoft.com/office/drawing/2014/main" id="{00000000-0008-0000-0500-000008000000}"/>
              </a:ext>
            </a:extLst>
          </xdr:cNvPr>
          <xdr:cNvSpPr/>
        </xdr:nvSpPr>
        <xdr:spPr>
          <a:xfrm rot="5400000">
            <a:off x="1725837" y="5838622"/>
            <a:ext cx="177401" cy="173832"/>
          </a:xfrm>
          <a:prstGeom prst="bentUpArrow">
            <a:avLst>
              <a:gd name="adj1" fmla="val 17629"/>
              <a:gd name="adj2" fmla="val 30389"/>
              <a:gd name="adj3" fmla="val 4315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Arrow: Bent-Up 10">
            <a:extLst>
              <a:ext uri="{FF2B5EF4-FFF2-40B4-BE49-F238E27FC236}">
                <a16:creationId xmlns:a16="http://schemas.microsoft.com/office/drawing/2014/main" id="{00000000-0008-0000-0500-00000B000000}"/>
              </a:ext>
            </a:extLst>
          </xdr:cNvPr>
          <xdr:cNvSpPr/>
        </xdr:nvSpPr>
        <xdr:spPr>
          <a:xfrm rot="5400000">
            <a:off x="1105628" y="5399590"/>
            <a:ext cx="570704" cy="173832"/>
          </a:xfrm>
          <a:prstGeom prst="bentUpArrow">
            <a:avLst>
              <a:gd name="adj1" fmla="val 17629"/>
              <a:gd name="adj2" fmla="val 30389"/>
              <a:gd name="adj3" fmla="val 4315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Arrow: Bent-Up 25">
            <a:extLst>
              <a:ext uri="{FF2B5EF4-FFF2-40B4-BE49-F238E27FC236}">
                <a16:creationId xmlns:a16="http://schemas.microsoft.com/office/drawing/2014/main" id="{00000000-0008-0000-0500-00001A000000}"/>
              </a:ext>
            </a:extLst>
          </xdr:cNvPr>
          <xdr:cNvSpPr/>
        </xdr:nvSpPr>
        <xdr:spPr>
          <a:xfrm rot="5400000">
            <a:off x="1302279" y="5348775"/>
            <a:ext cx="177401" cy="173832"/>
          </a:xfrm>
          <a:prstGeom prst="bentUpArrow">
            <a:avLst>
              <a:gd name="adj1" fmla="val 17629"/>
              <a:gd name="adj2" fmla="val 30389"/>
              <a:gd name="adj3" fmla="val 4315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editAs="oneCell">
    <xdr:from>
      <xdr:col>23</xdr:col>
      <xdr:colOff>87805</xdr:colOff>
      <xdr:row>4</xdr:row>
      <xdr:rowOff>0</xdr:rowOff>
    </xdr:from>
    <xdr:to>
      <xdr:col>24</xdr:col>
      <xdr:colOff>7555</xdr:colOff>
      <xdr:row>14</xdr:row>
      <xdr:rowOff>17850</xdr:rowOff>
    </xdr:to>
    <xdr:pic>
      <xdr:nvPicPr>
        <xdr:cNvPr id="16" name="LOGO IFP SB">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a:stretch>
          <a:fillRect/>
        </a:stretch>
      </xdr:blipFill>
      <xdr:spPr>
        <a:xfrm rot="5400000">
          <a:off x="11735455" y="1534950"/>
          <a:ext cx="1980000" cy="396000"/>
        </a:xfrm>
        <a:prstGeom prst="rect">
          <a:avLst/>
        </a:prstGeom>
      </xdr:spPr>
    </xdr:pic>
    <xdr:clientData/>
  </xdr:twoCellAnchor>
  <xdr:twoCellAnchor editAs="absolute">
    <xdr:from>
      <xdr:col>23</xdr:col>
      <xdr:colOff>0</xdr:colOff>
      <xdr:row>14</xdr:row>
      <xdr:rowOff>17850</xdr:rowOff>
    </xdr:from>
    <xdr:to>
      <xdr:col>23</xdr:col>
      <xdr:colOff>474280</xdr:colOff>
      <xdr:row>19</xdr:row>
      <xdr:rowOff>106318</xdr:rowOff>
    </xdr:to>
    <xdr:sp macro="" textlink="">
      <xdr:nvSpPr>
        <xdr:cNvPr id="17" name="Spacer">
          <a:extLst>
            <a:ext uri="{FF2B5EF4-FFF2-40B4-BE49-F238E27FC236}">
              <a16:creationId xmlns:a16="http://schemas.microsoft.com/office/drawing/2014/main" id="{00000000-0008-0000-0500-000011000000}"/>
            </a:ext>
          </a:extLst>
        </xdr:cNvPr>
        <xdr:cNvSpPr/>
      </xdr:nvSpPr>
      <xdr:spPr>
        <a:xfrm>
          <a:off x="12439650" y="2722950"/>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25" name="Spacer">
          <a:extLst>
            <a:ext uri="{FF2B5EF4-FFF2-40B4-BE49-F238E27FC236}">
              <a16:creationId xmlns:a16="http://schemas.microsoft.com/office/drawing/2014/main" id="{00000000-0008-0000-0500-000019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1</xdr:col>
      <xdr:colOff>247135</xdr:colOff>
      <xdr:row>0</xdr:row>
      <xdr:rowOff>206332</xdr:rowOff>
    </xdr:from>
    <xdr:to>
      <xdr:col>16</xdr:col>
      <xdr:colOff>635535</xdr:colOff>
      <xdr:row>1</xdr:row>
      <xdr:rowOff>0</xdr:rowOff>
    </xdr:to>
    <xdr:grpSp>
      <xdr:nvGrpSpPr>
        <xdr:cNvPr id="4" name="Navbar D">
          <a:extLst>
            <a:ext uri="{FF2B5EF4-FFF2-40B4-BE49-F238E27FC236}">
              <a16:creationId xmlns:a16="http://schemas.microsoft.com/office/drawing/2014/main" id="{00000000-0008-0000-0500-000004000000}"/>
            </a:ext>
          </a:extLst>
        </xdr:cNvPr>
        <xdr:cNvGrpSpPr/>
      </xdr:nvGrpSpPr>
      <xdr:grpSpPr>
        <a:xfrm>
          <a:off x="374135" y="206332"/>
          <a:ext cx="10980200" cy="263568"/>
          <a:chOff x="361950" y="205371"/>
          <a:chExt cx="9662855" cy="270879"/>
        </a:xfrm>
      </xdr:grpSpPr>
      <xdr:sp macro="" textlink="">
        <xdr:nvSpPr>
          <xdr:cNvPr id="9" name="0 Home-Button">
            <a:hlinkClick xmlns:r="http://schemas.openxmlformats.org/officeDocument/2006/relationships" r:id="rId6" tooltip="Klicken, um zur Startseite zu gelangen."/>
            <a:extLst>
              <a:ext uri="{FF2B5EF4-FFF2-40B4-BE49-F238E27FC236}">
                <a16:creationId xmlns:a16="http://schemas.microsoft.com/office/drawing/2014/main" id="{00000000-0008-0000-0500-000009000000}"/>
              </a:ext>
            </a:extLst>
          </xdr:cNvPr>
          <xdr:cNvSpPr/>
        </xdr:nvSpPr>
        <xdr:spPr>
          <a:xfrm>
            <a:off x="361950" y="205371"/>
            <a:ext cx="1950691"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10" name="Home-Button">
            <a:hlinkClick xmlns:r="http://schemas.openxmlformats.org/officeDocument/2006/relationships" r:id="rId6" tooltip="Klicken, um zur Startseite zu gelangen."/>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7"/>
          <a:srcRect/>
          <a:stretch/>
        </xdr:blipFill>
        <xdr:spPr>
          <a:xfrm>
            <a:off x="453899" y="262635"/>
            <a:ext cx="215823" cy="173413"/>
          </a:xfrm>
          <a:prstGeom prst="rect">
            <a:avLst/>
          </a:prstGeom>
        </xdr:spPr>
      </xdr:pic>
      <xdr:sp macro="" textlink="">
        <xdr:nvSpPr>
          <xdr:cNvPr id="28" name="00 Bestan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500-00001C000000}"/>
              </a:ext>
            </a:extLst>
          </xdr:cNvPr>
          <xdr:cNvSpPr/>
        </xdr:nvSpPr>
        <xdr:spPr>
          <a:xfrm>
            <a:off x="744174" y="205371"/>
            <a:ext cx="1949150"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29" name="123 Bestand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500-00001D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30" name="A Bestandseingabe">
            <a:hlinkClick xmlns:r="http://schemas.openxmlformats.org/officeDocument/2006/relationships" r:id="rId9" tooltip="Klicken, um zu Teil A zu gelangen."/>
            <a:extLst>
              <a:ext uri="{FF2B5EF4-FFF2-40B4-BE49-F238E27FC236}">
                <a16:creationId xmlns:a16="http://schemas.microsoft.com/office/drawing/2014/main" id="{00000000-0008-0000-0500-00001E000000}"/>
              </a:ext>
            </a:extLst>
          </xdr:cNvPr>
          <xdr:cNvSpPr/>
        </xdr:nvSpPr>
        <xdr:spPr>
          <a:xfrm>
            <a:off x="1097226" y="205371"/>
            <a:ext cx="184229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31" name="B Parametereingabe">
            <a:hlinkClick xmlns:r="http://schemas.openxmlformats.org/officeDocument/2006/relationships" r:id="rId10" tooltip="Klicken, um zu Teil B zu gelangen."/>
            <a:extLst>
              <a:ext uri="{FF2B5EF4-FFF2-40B4-BE49-F238E27FC236}">
                <a16:creationId xmlns:a16="http://schemas.microsoft.com/office/drawing/2014/main" id="{00000000-0008-0000-0500-00001F000000}"/>
              </a:ext>
            </a:extLst>
          </xdr:cNvPr>
          <xdr:cNvSpPr/>
        </xdr:nvSpPr>
        <xdr:spPr>
          <a:xfrm>
            <a:off x="2599818" y="205371"/>
            <a:ext cx="1983725"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32" name="C Ergebnisjustierung">
            <a:hlinkClick xmlns:r="http://schemas.openxmlformats.org/officeDocument/2006/relationships" r:id="rId11" tooltip="Klicken, um zu Teil C zu gelangen."/>
            <a:extLst>
              <a:ext uri="{FF2B5EF4-FFF2-40B4-BE49-F238E27FC236}">
                <a16:creationId xmlns:a16="http://schemas.microsoft.com/office/drawing/2014/main" id="{00000000-0008-0000-0500-000020000000}"/>
              </a:ext>
            </a:extLst>
          </xdr:cNvPr>
          <xdr:cNvSpPr/>
        </xdr:nvSpPr>
        <xdr:spPr>
          <a:xfrm>
            <a:off x="4191608" y="205371"/>
            <a:ext cx="1915926"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33" name="D Kostenanalyse">
            <a:extLst>
              <a:ext uri="{FF2B5EF4-FFF2-40B4-BE49-F238E27FC236}">
                <a16:creationId xmlns:a16="http://schemas.microsoft.com/office/drawing/2014/main" id="{00000000-0008-0000-0500-000021000000}"/>
              </a:ext>
            </a:extLst>
          </xdr:cNvPr>
          <xdr:cNvSpPr/>
        </xdr:nvSpPr>
        <xdr:spPr>
          <a:xfrm>
            <a:off x="5791663" y="205371"/>
            <a:ext cx="1601783"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D ▪ Kostenanalyse</a:t>
            </a:r>
            <a:endParaRPr lang="de-DE" sz="1300" b="0">
              <a:solidFill>
                <a:schemeClr val="bg1"/>
              </a:solidFill>
              <a:effectLst/>
            </a:endParaRPr>
          </a:p>
        </xdr:txBody>
      </xdr:sp>
      <xdr:sp macro="" textlink="">
        <xdr:nvSpPr>
          <xdr:cNvPr id="34" name="E1 Checklisten">
            <a:hlinkClick xmlns:r="http://schemas.openxmlformats.org/officeDocument/2006/relationships" r:id="rId12" tooltip="Klicken, um zu Teil E1 zu gelangen."/>
            <a:extLst>
              <a:ext uri="{FF2B5EF4-FFF2-40B4-BE49-F238E27FC236}">
                <a16:creationId xmlns:a16="http://schemas.microsoft.com/office/drawing/2014/main" id="{00000000-0008-0000-0500-000022000000}"/>
              </a:ext>
            </a:extLst>
          </xdr:cNvPr>
          <xdr:cNvSpPr/>
        </xdr:nvSpPr>
        <xdr:spPr>
          <a:xfrm>
            <a:off x="7117752"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35"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500-000023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 ▪ Checklisten</a:t>
            </a:r>
            <a:endParaRPr lang="de-DE" sz="1300" b="0">
              <a:solidFill>
                <a:schemeClr val="accent3">
                  <a:lumMod val="50000"/>
                </a:schemeClr>
              </a:solidFill>
              <a:effectLst/>
            </a:endParaRPr>
          </a:p>
        </xdr:txBody>
      </xdr:sp>
      <xdr:sp macro="" textlink="">
        <xdr:nvSpPr>
          <xdr:cNvPr id="36"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500-000024000000}"/>
              </a:ext>
            </a:extLst>
          </xdr:cNvPr>
          <xdr:cNvSpPr/>
        </xdr:nvSpPr>
        <xdr:spPr>
          <a:xfrm>
            <a:off x="8847298" y="205371"/>
            <a:ext cx="117750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95</xdr:row>
      <xdr:rowOff>136735</xdr:rowOff>
    </xdr:from>
    <xdr:to>
      <xdr:col>24</xdr:col>
      <xdr:colOff>0</xdr:colOff>
      <xdr:row>97</xdr:row>
      <xdr:rowOff>0</xdr:rowOff>
    </xdr:to>
    <xdr:grpSp>
      <xdr:nvGrpSpPr>
        <xdr:cNvPr id="9" name="Footer">
          <a:extLst>
            <a:ext uri="{FF2B5EF4-FFF2-40B4-BE49-F238E27FC236}">
              <a16:creationId xmlns:a16="http://schemas.microsoft.com/office/drawing/2014/main" id="{00000000-0008-0000-0600-000009000000}"/>
            </a:ext>
          </a:extLst>
        </xdr:cNvPr>
        <xdr:cNvGrpSpPr/>
      </xdr:nvGrpSpPr>
      <xdr:grpSpPr>
        <a:xfrm>
          <a:off x="0" y="20990135"/>
          <a:ext cx="14681200" cy="764965"/>
          <a:chOff x="0" y="58124935"/>
          <a:chExt cx="12915900" cy="768140"/>
        </a:xfrm>
      </xdr:grpSpPr>
      <xdr:sp macro="" textlink="">
        <xdr:nvSpPr>
          <xdr:cNvPr id="10" name="Spacer Footer">
            <a:extLst>
              <a:ext uri="{FF2B5EF4-FFF2-40B4-BE49-F238E27FC236}">
                <a16:creationId xmlns:a16="http://schemas.microsoft.com/office/drawing/2014/main" id="{00000000-0008-0000-0600-00000A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 name="LOGO BStext">
            <a:hlinkClick xmlns:r="http://schemas.openxmlformats.org/officeDocument/2006/relationships" r:id="rId1"/>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2" name="LOGO IFP">
            <a:hlinkClick xmlns:r="http://schemas.openxmlformats.org/officeDocument/2006/relationships" r:id="rId3"/>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editAs="oneCell">
    <xdr:from>
      <xdr:col>23</xdr:col>
      <xdr:colOff>87805</xdr:colOff>
      <xdr:row>4</xdr:row>
      <xdr:rowOff>0</xdr:rowOff>
    </xdr:from>
    <xdr:to>
      <xdr:col>24</xdr:col>
      <xdr:colOff>7555</xdr:colOff>
      <xdr:row>14</xdr:row>
      <xdr:rowOff>55950</xdr:rowOff>
    </xdr:to>
    <xdr:pic>
      <xdr:nvPicPr>
        <xdr:cNvPr id="13" name="LOGO IFP SB">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5"/>
        <a:stretch>
          <a:fillRect/>
        </a:stretch>
      </xdr:blipFill>
      <xdr:spPr>
        <a:xfrm rot="5400000">
          <a:off x="11735455" y="1534950"/>
          <a:ext cx="1980000" cy="396000"/>
        </a:xfrm>
        <a:prstGeom prst="rect">
          <a:avLst/>
        </a:prstGeom>
      </xdr:spPr>
    </xdr:pic>
    <xdr:clientData/>
  </xdr:twoCellAnchor>
  <xdr:twoCellAnchor editAs="absolute">
    <xdr:from>
      <xdr:col>23</xdr:col>
      <xdr:colOff>0</xdr:colOff>
      <xdr:row>14</xdr:row>
      <xdr:rowOff>55950</xdr:rowOff>
    </xdr:from>
    <xdr:to>
      <xdr:col>23</xdr:col>
      <xdr:colOff>474280</xdr:colOff>
      <xdr:row>17</xdr:row>
      <xdr:rowOff>68218</xdr:rowOff>
    </xdr:to>
    <xdr:sp macro="" textlink="">
      <xdr:nvSpPr>
        <xdr:cNvPr id="14" name="Spacer">
          <a:extLst>
            <a:ext uri="{FF2B5EF4-FFF2-40B4-BE49-F238E27FC236}">
              <a16:creationId xmlns:a16="http://schemas.microsoft.com/office/drawing/2014/main" id="{00000000-0008-0000-0600-00000E000000}"/>
            </a:ext>
          </a:extLst>
        </xdr:cNvPr>
        <xdr:cNvSpPr/>
      </xdr:nvSpPr>
      <xdr:spPr>
        <a:xfrm>
          <a:off x="12439650" y="2722950"/>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8" name="Spacer">
          <a:extLst>
            <a:ext uri="{FF2B5EF4-FFF2-40B4-BE49-F238E27FC236}">
              <a16:creationId xmlns:a16="http://schemas.microsoft.com/office/drawing/2014/main" id="{00000000-0008-0000-0600-000008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mc:AlternateContent xmlns:mc="http://schemas.openxmlformats.org/markup-compatibility/2006">
    <mc:Choice xmlns:a14="http://schemas.microsoft.com/office/drawing/2010/main" Requires="a14">
      <xdr:twoCellAnchor>
        <xdr:from>
          <xdr:col>9</xdr:col>
          <xdr:colOff>38100</xdr:colOff>
          <xdr:row>23</xdr:row>
          <xdr:rowOff>0</xdr:rowOff>
        </xdr:from>
        <xdr:to>
          <xdr:col>9</xdr:col>
          <xdr:colOff>622300</xdr:colOff>
          <xdr:row>24</xdr:row>
          <xdr:rowOff>0</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600-000040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23</xdr:row>
          <xdr:rowOff>254000</xdr:rowOff>
        </xdr:from>
        <xdr:to>
          <xdr:col>9</xdr:col>
          <xdr:colOff>622300</xdr:colOff>
          <xdr:row>26</xdr:row>
          <xdr:rowOff>0</xdr:rowOff>
        </xdr:to>
        <xdr:sp macro="" textlink="">
          <xdr:nvSpPr>
            <xdr:cNvPr id="7233" name="Check Box 65" hidden="1">
              <a:extLst>
                <a:ext uri="{63B3BB69-23CF-44E3-9099-C40C66FF867C}">
                  <a14:compatExt spid="_x0000_s7233"/>
                </a:ext>
                <a:ext uri="{FF2B5EF4-FFF2-40B4-BE49-F238E27FC236}">
                  <a16:creationId xmlns:a16="http://schemas.microsoft.com/office/drawing/2014/main" id="{00000000-0008-0000-0600-00004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27</xdr:row>
          <xdr:rowOff>0</xdr:rowOff>
        </xdr:from>
        <xdr:to>
          <xdr:col>9</xdr:col>
          <xdr:colOff>622300</xdr:colOff>
          <xdr:row>28</xdr:row>
          <xdr:rowOff>0</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600-00004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32</xdr:row>
          <xdr:rowOff>0</xdr:rowOff>
        </xdr:from>
        <xdr:to>
          <xdr:col>9</xdr:col>
          <xdr:colOff>622300</xdr:colOff>
          <xdr:row>33</xdr:row>
          <xdr:rowOff>0</xdr:rowOff>
        </xdr:to>
        <xdr:sp macro="" textlink="">
          <xdr:nvSpPr>
            <xdr:cNvPr id="7235" name="Check Box 67" hidden="1">
              <a:extLst>
                <a:ext uri="{63B3BB69-23CF-44E3-9099-C40C66FF867C}">
                  <a14:compatExt spid="_x0000_s7235"/>
                </a:ext>
                <a:ext uri="{FF2B5EF4-FFF2-40B4-BE49-F238E27FC236}">
                  <a16:creationId xmlns:a16="http://schemas.microsoft.com/office/drawing/2014/main" id="{00000000-0008-0000-0600-00004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39</xdr:row>
          <xdr:rowOff>0</xdr:rowOff>
        </xdr:from>
        <xdr:to>
          <xdr:col>9</xdr:col>
          <xdr:colOff>622300</xdr:colOff>
          <xdr:row>40</xdr:row>
          <xdr:rowOff>0</xdr:rowOff>
        </xdr:to>
        <xdr:sp macro="" textlink="">
          <xdr:nvSpPr>
            <xdr:cNvPr id="7236" name="Check Box 68" hidden="1">
              <a:extLst>
                <a:ext uri="{63B3BB69-23CF-44E3-9099-C40C66FF867C}">
                  <a14:compatExt spid="_x0000_s7236"/>
                </a:ext>
                <a:ext uri="{FF2B5EF4-FFF2-40B4-BE49-F238E27FC236}">
                  <a16:creationId xmlns:a16="http://schemas.microsoft.com/office/drawing/2014/main" id="{00000000-0008-0000-0600-00004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51</xdr:row>
          <xdr:rowOff>0</xdr:rowOff>
        </xdr:from>
        <xdr:to>
          <xdr:col>9</xdr:col>
          <xdr:colOff>622300</xdr:colOff>
          <xdr:row>52</xdr:row>
          <xdr:rowOff>0</xdr:rowOff>
        </xdr:to>
        <xdr:sp macro="" textlink="">
          <xdr:nvSpPr>
            <xdr:cNvPr id="7237" name="Check Box 69" hidden="1">
              <a:extLst>
                <a:ext uri="{63B3BB69-23CF-44E3-9099-C40C66FF867C}">
                  <a14:compatExt spid="_x0000_s7237"/>
                </a:ext>
                <a:ext uri="{FF2B5EF4-FFF2-40B4-BE49-F238E27FC236}">
                  <a16:creationId xmlns:a16="http://schemas.microsoft.com/office/drawing/2014/main" id="{00000000-0008-0000-0600-00004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55</xdr:row>
          <xdr:rowOff>0</xdr:rowOff>
        </xdr:from>
        <xdr:to>
          <xdr:col>9</xdr:col>
          <xdr:colOff>622300</xdr:colOff>
          <xdr:row>56</xdr:row>
          <xdr:rowOff>0</xdr:rowOff>
        </xdr:to>
        <xdr:sp macro="" textlink="">
          <xdr:nvSpPr>
            <xdr:cNvPr id="7238" name="Check Box 70" hidden="1">
              <a:extLst>
                <a:ext uri="{63B3BB69-23CF-44E3-9099-C40C66FF867C}">
                  <a14:compatExt spid="_x0000_s7238"/>
                </a:ext>
                <a:ext uri="{FF2B5EF4-FFF2-40B4-BE49-F238E27FC236}">
                  <a16:creationId xmlns:a16="http://schemas.microsoft.com/office/drawing/2014/main" id="{00000000-0008-0000-0600-000046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56</xdr:row>
          <xdr:rowOff>0</xdr:rowOff>
        </xdr:from>
        <xdr:to>
          <xdr:col>9</xdr:col>
          <xdr:colOff>622300</xdr:colOff>
          <xdr:row>57</xdr:row>
          <xdr:rowOff>0</xdr:rowOff>
        </xdr:to>
        <xdr:sp macro="" textlink="">
          <xdr:nvSpPr>
            <xdr:cNvPr id="7239" name="Check Box 71" hidden="1">
              <a:extLst>
                <a:ext uri="{63B3BB69-23CF-44E3-9099-C40C66FF867C}">
                  <a14:compatExt spid="_x0000_s7239"/>
                </a:ext>
                <a:ext uri="{FF2B5EF4-FFF2-40B4-BE49-F238E27FC236}">
                  <a16:creationId xmlns:a16="http://schemas.microsoft.com/office/drawing/2014/main" id="{00000000-0008-0000-0600-00004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57</xdr:row>
          <xdr:rowOff>0</xdr:rowOff>
        </xdr:from>
        <xdr:to>
          <xdr:col>9</xdr:col>
          <xdr:colOff>622300</xdr:colOff>
          <xdr:row>58</xdr:row>
          <xdr:rowOff>0</xdr:rowOff>
        </xdr:to>
        <xdr:sp macro="" textlink="">
          <xdr:nvSpPr>
            <xdr:cNvPr id="7240" name="Check Box 72" hidden="1">
              <a:extLst>
                <a:ext uri="{63B3BB69-23CF-44E3-9099-C40C66FF867C}">
                  <a14:compatExt spid="_x0000_s7240"/>
                </a:ext>
                <a:ext uri="{FF2B5EF4-FFF2-40B4-BE49-F238E27FC236}">
                  <a16:creationId xmlns:a16="http://schemas.microsoft.com/office/drawing/2014/main" id="{00000000-0008-0000-0600-000048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58</xdr:row>
          <xdr:rowOff>0</xdr:rowOff>
        </xdr:from>
        <xdr:to>
          <xdr:col>9</xdr:col>
          <xdr:colOff>622300</xdr:colOff>
          <xdr:row>59</xdr:row>
          <xdr:rowOff>0</xdr:rowOff>
        </xdr:to>
        <xdr:sp macro="" textlink="">
          <xdr:nvSpPr>
            <xdr:cNvPr id="7241" name="Check Box 73" hidden="1">
              <a:extLst>
                <a:ext uri="{63B3BB69-23CF-44E3-9099-C40C66FF867C}">
                  <a14:compatExt spid="_x0000_s7241"/>
                </a:ext>
                <a:ext uri="{FF2B5EF4-FFF2-40B4-BE49-F238E27FC236}">
                  <a16:creationId xmlns:a16="http://schemas.microsoft.com/office/drawing/2014/main" id="{00000000-0008-0000-0600-000049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59</xdr:row>
          <xdr:rowOff>0</xdr:rowOff>
        </xdr:from>
        <xdr:to>
          <xdr:col>9</xdr:col>
          <xdr:colOff>622300</xdr:colOff>
          <xdr:row>60</xdr:row>
          <xdr:rowOff>0</xdr:rowOff>
        </xdr:to>
        <xdr:sp macro="" textlink="">
          <xdr:nvSpPr>
            <xdr:cNvPr id="7242" name="Check Box 74" hidden="1">
              <a:extLst>
                <a:ext uri="{63B3BB69-23CF-44E3-9099-C40C66FF867C}">
                  <a14:compatExt spid="_x0000_s7242"/>
                </a:ext>
                <a:ext uri="{FF2B5EF4-FFF2-40B4-BE49-F238E27FC236}">
                  <a16:creationId xmlns:a16="http://schemas.microsoft.com/office/drawing/2014/main" id="{00000000-0008-0000-0600-00004A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60</xdr:row>
          <xdr:rowOff>0</xdr:rowOff>
        </xdr:from>
        <xdr:to>
          <xdr:col>9</xdr:col>
          <xdr:colOff>622300</xdr:colOff>
          <xdr:row>61</xdr:row>
          <xdr:rowOff>0</xdr:rowOff>
        </xdr:to>
        <xdr:sp macro="" textlink="">
          <xdr:nvSpPr>
            <xdr:cNvPr id="7243" name="Check Box 75" hidden="1">
              <a:extLst>
                <a:ext uri="{63B3BB69-23CF-44E3-9099-C40C66FF867C}">
                  <a14:compatExt spid="_x0000_s7243"/>
                </a:ext>
                <a:ext uri="{FF2B5EF4-FFF2-40B4-BE49-F238E27FC236}">
                  <a16:creationId xmlns:a16="http://schemas.microsoft.com/office/drawing/2014/main" id="{00000000-0008-0000-0600-00004B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61</xdr:row>
          <xdr:rowOff>0</xdr:rowOff>
        </xdr:from>
        <xdr:to>
          <xdr:col>9</xdr:col>
          <xdr:colOff>622300</xdr:colOff>
          <xdr:row>62</xdr:row>
          <xdr:rowOff>0</xdr:rowOff>
        </xdr:to>
        <xdr:sp macro="" textlink="">
          <xdr:nvSpPr>
            <xdr:cNvPr id="7244" name="Check Box 76" hidden="1">
              <a:extLst>
                <a:ext uri="{63B3BB69-23CF-44E3-9099-C40C66FF867C}">
                  <a14:compatExt spid="_x0000_s7244"/>
                </a:ext>
                <a:ext uri="{FF2B5EF4-FFF2-40B4-BE49-F238E27FC236}">
                  <a16:creationId xmlns:a16="http://schemas.microsoft.com/office/drawing/2014/main" id="{00000000-0008-0000-0600-00004C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62</xdr:row>
          <xdr:rowOff>0</xdr:rowOff>
        </xdr:from>
        <xdr:to>
          <xdr:col>9</xdr:col>
          <xdr:colOff>622300</xdr:colOff>
          <xdr:row>63</xdr:row>
          <xdr:rowOff>0</xdr:rowOff>
        </xdr:to>
        <xdr:sp macro="" textlink="">
          <xdr:nvSpPr>
            <xdr:cNvPr id="7245" name="Check Box 77" hidden="1">
              <a:extLst>
                <a:ext uri="{63B3BB69-23CF-44E3-9099-C40C66FF867C}">
                  <a14:compatExt spid="_x0000_s7245"/>
                </a:ext>
                <a:ext uri="{FF2B5EF4-FFF2-40B4-BE49-F238E27FC236}">
                  <a16:creationId xmlns:a16="http://schemas.microsoft.com/office/drawing/2014/main" id="{00000000-0008-0000-0600-00004D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215900</xdr:colOff>
          <xdr:row>21</xdr:row>
          <xdr:rowOff>0</xdr:rowOff>
        </xdr:from>
        <xdr:to>
          <xdr:col>10</xdr:col>
          <xdr:colOff>431800</xdr:colOff>
          <xdr:row>22</xdr:row>
          <xdr:rowOff>0</xdr:rowOff>
        </xdr:to>
        <xdr:sp macro="" textlink="">
          <xdr:nvSpPr>
            <xdr:cNvPr id="7246" name="Check Box 78" hidden="1">
              <a:extLst>
                <a:ext uri="{63B3BB69-23CF-44E3-9099-C40C66FF867C}">
                  <a14:compatExt spid="_x0000_s7246"/>
                </a:ext>
                <a:ext uri="{FF2B5EF4-FFF2-40B4-BE49-F238E27FC236}">
                  <a16:creationId xmlns:a16="http://schemas.microsoft.com/office/drawing/2014/main" id="{00000000-0008-0000-0600-00004E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215900</xdr:colOff>
          <xdr:row>21</xdr:row>
          <xdr:rowOff>0</xdr:rowOff>
        </xdr:from>
        <xdr:to>
          <xdr:col>11</xdr:col>
          <xdr:colOff>431800</xdr:colOff>
          <xdr:row>22</xdr:row>
          <xdr:rowOff>0</xdr:rowOff>
        </xdr:to>
        <xdr:sp macro="" textlink="">
          <xdr:nvSpPr>
            <xdr:cNvPr id="7247" name="Check Box 79" hidden="1">
              <a:extLst>
                <a:ext uri="{63B3BB69-23CF-44E3-9099-C40C66FF867C}">
                  <a14:compatExt spid="_x0000_s7247"/>
                </a:ext>
                <a:ext uri="{FF2B5EF4-FFF2-40B4-BE49-F238E27FC236}">
                  <a16:creationId xmlns:a16="http://schemas.microsoft.com/office/drawing/2014/main" id="{00000000-0008-0000-0600-00004F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215900</xdr:colOff>
          <xdr:row>21</xdr:row>
          <xdr:rowOff>0</xdr:rowOff>
        </xdr:from>
        <xdr:to>
          <xdr:col>12</xdr:col>
          <xdr:colOff>431800</xdr:colOff>
          <xdr:row>22</xdr:row>
          <xdr:rowOff>0</xdr:rowOff>
        </xdr:to>
        <xdr:sp macro="" textlink="">
          <xdr:nvSpPr>
            <xdr:cNvPr id="7248" name="Check Box 80" hidden="1">
              <a:extLst>
                <a:ext uri="{63B3BB69-23CF-44E3-9099-C40C66FF867C}">
                  <a14:compatExt spid="_x0000_s7248"/>
                </a:ext>
                <a:ext uri="{FF2B5EF4-FFF2-40B4-BE49-F238E27FC236}">
                  <a16:creationId xmlns:a16="http://schemas.microsoft.com/office/drawing/2014/main" id="{00000000-0008-0000-0600-000050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215900</xdr:colOff>
          <xdr:row>22</xdr:row>
          <xdr:rowOff>0</xdr:rowOff>
        </xdr:from>
        <xdr:to>
          <xdr:col>12</xdr:col>
          <xdr:colOff>431800</xdr:colOff>
          <xdr:row>23</xdr:row>
          <xdr:rowOff>0</xdr:rowOff>
        </xdr:to>
        <xdr:sp macro="" textlink="">
          <xdr:nvSpPr>
            <xdr:cNvPr id="7249" name="Check Box 81" hidden="1">
              <a:extLst>
                <a:ext uri="{63B3BB69-23CF-44E3-9099-C40C66FF867C}">
                  <a14:compatExt spid="_x0000_s7249"/>
                </a:ext>
                <a:ext uri="{FF2B5EF4-FFF2-40B4-BE49-F238E27FC236}">
                  <a16:creationId xmlns:a16="http://schemas.microsoft.com/office/drawing/2014/main" id="{00000000-0008-0000-0600-00005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215900</xdr:colOff>
          <xdr:row>22</xdr:row>
          <xdr:rowOff>0</xdr:rowOff>
        </xdr:from>
        <xdr:to>
          <xdr:col>11</xdr:col>
          <xdr:colOff>431800</xdr:colOff>
          <xdr:row>23</xdr:row>
          <xdr:rowOff>0</xdr:rowOff>
        </xdr:to>
        <xdr:sp macro="" textlink="">
          <xdr:nvSpPr>
            <xdr:cNvPr id="7250" name="Check Box 82" hidden="1">
              <a:extLst>
                <a:ext uri="{63B3BB69-23CF-44E3-9099-C40C66FF867C}">
                  <a14:compatExt spid="_x0000_s7250"/>
                </a:ext>
                <a:ext uri="{FF2B5EF4-FFF2-40B4-BE49-F238E27FC236}">
                  <a16:creationId xmlns:a16="http://schemas.microsoft.com/office/drawing/2014/main" id="{00000000-0008-0000-0600-00005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215900</xdr:colOff>
          <xdr:row>22</xdr:row>
          <xdr:rowOff>0</xdr:rowOff>
        </xdr:from>
        <xdr:to>
          <xdr:col>10</xdr:col>
          <xdr:colOff>431800</xdr:colOff>
          <xdr:row>23</xdr:row>
          <xdr:rowOff>0</xdr:rowOff>
        </xdr:to>
        <xdr:sp macro="" textlink="">
          <xdr:nvSpPr>
            <xdr:cNvPr id="7251" name="Check Box 83" hidden="1">
              <a:extLst>
                <a:ext uri="{63B3BB69-23CF-44E3-9099-C40C66FF867C}">
                  <a14:compatExt spid="_x0000_s7251"/>
                </a:ext>
                <a:ext uri="{FF2B5EF4-FFF2-40B4-BE49-F238E27FC236}">
                  <a16:creationId xmlns:a16="http://schemas.microsoft.com/office/drawing/2014/main" id="{00000000-0008-0000-0600-00005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215900</xdr:colOff>
          <xdr:row>31</xdr:row>
          <xdr:rowOff>0</xdr:rowOff>
        </xdr:from>
        <xdr:to>
          <xdr:col>10</xdr:col>
          <xdr:colOff>431800</xdr:colOff>
          <xdr:row>32</xdr:row>
          <xdr:rowOff>0</xdr:rowOff>
        </xdr:to>
        <xdr:sp macro="" textlink="">
          <xdr:nvSpPr>
            <xdr:cNvPr id="7252" name="Check Box 84" hidden="1">
              <a:extLst>
                <a:ext uri="{63B3BB69-23CF-44E3-9099-C40C66FF867C}">
                  <a14:compatExt spid="_x0000_s7252"/>
                </a:ext>
                <a:ext uri="{FF2B5EF4-FFF2-40B4-BE49-F238E27FC236}">
                  <a16:creationId xmlns:a16="http://schemas.microsoft.com/office/drawing/2014/main" id="{00000000-0008-0000-0600-00005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215900</xdr:colOff>
          <xdr:row>31</xdr:row>
          <xdr:rowOff>0</xdr:rowOff>
        </xdr:from>
        <xdr:to>
          <xdr:col>11</xdr:col>
          <xdr:colOff>431800</xdr:colOff>
          <xdr:row>32</xdr:row>
          <xdr:rowOff>0</xdr:rowOff>
        </xdr:to>
        <xdr:sp macro="" textlink="">
          <xdr:nvSpPr>
            <xdr:cNvPr id="7253" name="Check Box 85" hidden="1">
              <a:extLst>
                <a:ext uri="{63B3BB69-23CF-44E3-9099-C40C66FF867C}">
                  <a14:compatExt spid="_x0000_s7253"/>
                </a:ext>
                <a:ext uri="{FF2B5EF4-FFF2-40B4-BE49-F238E27FC236}">
                  <a16:creationId xmlns:a16="http://schemas.microsoft.com/office/drawing/2014/main" id="{00000000-0008-0000-0600-00005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215900</xdr:colOff>
          <xdr:row>31</xdr:row>
          <xdr:rowOff>0</xdr:rowOff>
        </xdr:from>
        <xdr:to>
          <xdr:col>12</xdr:col>
          <xdr:colOff>431800</xdr:colOff>
          <xdr:row>32</xdr:row>
          <xdr:rowOff>0</xdr:rowOff>
        </xdr:to>
        <xdr:sp macro="" textlink="">
          <xdr:nvSpPr>
            <xdr:cNvPr id="7254" name="Check Box 86" hidden="1">
              <a:extLst>
                <a:ext uri="{63B3BB69-23CF-44E3-9099-C40C66FF867C}">
                  <a14:compatExt spid="_x0000_s7254"/>
                </a:ext>
                <a:ext uri="{FF2B5EF4-FFF2-40B4-BE49-F238E27FC236}">
                  <a16:creationId xmlns:a16="http://schemas.microsoft.com/office/drawing/2014/main" id="{00000000-0008-0000-0600-000056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215900</xdr:colOff>
          <xdr:row>37</xdr:row>
          <xdr:rowOff>0</xdr:rowOff>
        </xdr:from>
        <xdr:to>
          <xdr:col>10</xdr:col>
          <xdr:colOff>431800</xdr:colOff>
          <xdr:row>38</xdr:row>
          <xdr:rowOff>0</xdr:rowOff>
        </xdr:to>
        <xdr:sp macro="" textlink="">
          <xdr:nvSpPr>
            <xdr:cNvPr id="7255" name="Check Box 87" hidden="1">
              <a:extLst>
                <a:ext uri="{63B3BB69-23CF-44E3-9099-C40C66FF867C}">
                  <a14:compatExt spid="_x0000_s7255"/>
                </a:ext>
                <a:ext uri="{FF2B5EF4-FFF2-40B4-BE49-F238E27FC236}">
                  <a16:creationId xmlns:a16="http://schemas.microsoft.com/office/drawing/2014/main" id="{00000000-0008-0000-0600-00005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215900</xdr:colOff>
          <xdr:row>38</xdr:row>
          <xdr:rowOff>0</xdr:rowOff>
        </xdr:from>
        <xdr:to>
          <xdr:col>10</xdr:col>
          <xdr:colOff>431800</xdr:colOff>
          <xdr:row>39</xdr:row>
          <xdr:rowOff>0</xdr:rowOff>
        </xdr:to>
        <xdr:sp macro="" textlink="">
          <xdr:nvSpPr>
            <xdr:cNvPr id="7256" name="Check Box 88" hidden="1">
              <a:extLst>
                <a:ext uri="{63B3BB69-23CF-44E3-9099-C40C66FF867C}">
                  <a14:compatExt spid="_x0000_s7256"/>
                </a:ext>
                <a:ext uri="{FF2B5EF4-FFF2-40B4-BE49-F238E27FC236}">
                  <a16:creationId xmlns:a16="http://schemas.microsoft.com/office/drawing/2014/main" id="{00000000-0008-0000-0600-000058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215900</xdr:colOff>
          <xdr:row>37</xdr:row>
          <xdr:rowOff>0</xdr:rowOff>
        </xdr:from>
        <xdr:to>
          <xdr:col>11</xdr:col>
          <xdr:colOff>431800</xdr:colOff>
          <xdr:row>38</xdr:row>
          <xdr:rowOff>0</xdr:rowOff>
        </xdr:to>
        <xdr:sp macro="" textlink="">
          <xdr:nvSpPr>
            <xdr:cNvPr id="7257" name="Check Box 89" hidden="1">
              <a:extLst>
                <a:ext uri="{63B3BB69-23CF-44E3-9099-C40C66FF867C}">
                  <a14:compatExt spid="_x0000_s7257"/>
                </a:ext>
                <a:ext uri="{FF2B5EF4-FFF2-40B4-BE49-F238E27FC236}">
                  <a16:creationId xmlns:a16="http://schemas.microsoft.com/office/drawing/2014/main" id="{00000000-0008-0000-0600-000059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215900</xdr:colOff>
          <xdr:row>38</xdr:row>
          <xdr:rowOff>0</xdr:rowOff>
        </xdr:from>
        <xdr:to>
          <xdr:col>11</xdr:col>
          <xdr:colOff>431800</xdr:colOff>
          <xdr:row>39</xdr:row>
          <xdr:rowOff>0</xdr:rowOff>
        </xdr:to>
        <xdr:sp macro="" textlink="">
          <xdr:nvSpPr>
            <xdr:cNvPr id="7258" name="Check Box 90" hidden="1">
              <a:extLst>
                <a:ext uri="{63B3BB69-23CF-44E3-9099-C40C66FF867C}">
                  <a14:compatExt spid="_x0000_s7258"/>
                </a:ext>
                <a:ext uri="{FF2B5EF4-FFF2-40B4-BE49-F238E27FC236}">
                  <a16:creationId xmlns:a16="http://schemas.microsoft.com/office/drawing/2014/main" id="{00000000-0008-0000-0600-00005A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215900</xdr:colOff>
          <xdr:row>37</xdr:row>
          <xdr:rowOff>0</xdr:rowOff>
        </xdr:from>
        <xdr:to>
          <xdr:col>12</xdr:col>
          <xdr:colOff>431800</xdr:colOff>
          <xdr:row>38</xdr:row>
          <xdr:rowOff>0</xdr:rowOff>
        </xdr:to>
        <xdr:sp macro="" textlink="">
          <xdr:nvSpPr>
            <xdr:cNvPr id="7259" name="Check Box 91" hidden="1">
              <a:extLst>
                <a:ext uri="{63B3BB69-23CF-44E3-9099-C40C66FF867C}">
                  <a14:compatExt spid="_x0000_s7259"/>
                </a:ext>
                <a:ext uri="{FF2B5EF4-FFF2-40B4-BE49-F238E27FC236}">
                  <a16:creationId xmlns:a16="http://schemas.microsoft.com/office/drawing/2014/main" id="{00000000-0008-0000-0600-00005B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215900</xdr:colOff>
          <xdr:row>38</xdr:row>
          <xdr:rowOff>0</xdr:rowOff>
        </xdr:from>
        <xdr:to>
          <xdr:col>12</xdr:col>
          <xdr:colOff>431800</xdr:colOff>
          <xdr:row>39</xdr:row>
          <xdr:rowOff>0</xdr:rowOff>
        </xdr:to>
        <xdr:sp macro="" textlink="">
          <xdr:nvSpPr>
            <xdr:cNvPr id="7260" name="Check Box 92" hidden="1">
              <a:extLst>
                <a:ext uri="{63B3BB69-23CF-44E3-9099-C40C66FF867C}">
                  <a14:compatExt spid="_x0000_s7260"/>
                </a:ext>
                <a:ext uri="{FF2B5EF4-FFF2-40B4-BE49-F238E27FC236}">
                  <a16:creationId xmlns:a16="http://schemas.microsoft.com/office/drawing/2014/main" id="{00000000-0008-0000-0600-00005C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215900</xdr:colOff>
          <xdr:row>43</xdr:row>
          <xdr:rowOff>0</xdr:rowOff>
        </xdr:from>
        <xdr:to>
          <xdr:col>10</xdr:col>
          <xdr:colOff>431800</xdr:colOff>
          <xdr:row>44</xdr:row>
          <xdr:rowOff>0</xdr:rowOff>
        </xdr:to>
        <xdr:sp macro="" textlink="">
          <xdr:nvSpPr>
            <xdr:cNvPr id="7261" name="Check Box 93" hidden="1">
              <a:extLst>
                <a:ext uri="{63B3BB69-23CF-44E3-9099-C40C66FF867C}">
                  <a14:compatExt spid="_x0000_s7261"/>
                </a:ext>
                <a:ext uri="{FF2B5EF4-FFF2-40B4-BE49-F238E27FC236}">
                  <a16:creationId xmlns:a16="http://schemas.microsoft.com/office/drawing/2014/main" id="{00000000-0008-0000-0600-00005D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215900</xdr:colOff>
          <xdr:row>44</xdr:row>
          <xdr:rowOff>0</xdr:rowOff>
        </xdr:from>
        <xdr:to>
          <xdr:col>10</xdr:col>
          <xdr:colOff>431800</xdr:colOff>
          <xdr:row>45</xdr:row>
          <xdr:rowOff>0</xdr:rowOff>
        </xdr:to>
        <xdr:sp macro="" textlink="">
          <xdr:nvSpPr>
            <xdr:cNvPr id="7262" name="Check Box 94" hidden="1">
              <a:extLst>
                <a:ext uri="{63B3BB69-23CF-44E3-9099-C40C66FF867C}">
                  <a14:compatExt spid="_x0000_s7262"/>
                </a:ext>
                <a:ext uri="{FF2B5EF4-FFF2-40B4-BE49-F238E27FC236}">
                  <a16:creationId xmlns:a16="http://schemas.microsoft.com/office/drawing/2014/main" id="{00000000-0008-0000-0600-00005E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215900</xdr:colOff>
          <xdr:row>45</xdr:row>
          <xdr:rowOff>0</xdr:rowOff>
        </xdr:from>
        <xdr:to>
          <xdr:col>10</xdr:col>
          <xdr:colOff>431800</xdr:colOff>
          <xdr:row>46</xdr:row>
          <xdr:rowOff>0</xdr:rowOff>
        </xdr:to>
        <xdr:sp macro="" textlink="">
          <xdr:nvSpPr>
            <xdr:cNvPr id="7263" name="Check Box 95" hidden="1">
              <a:extLst>
                <a:ext uri="{63B3BB69-23CF-44E3-9099-C40C66FF867C}">
                  <a14:compatExt spid="_x0000_s7263"/>
                </a:ext>
                <a:ext uri="{FF2B5EF4-FFF2-40B4-BE49-F238E27FC236}">
                  <a16:creationId xmlns:a16="http://schemas.microsoft.com/office/drawing/2014/main" id="{00000000-0008-0000-0600-00005F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215900</xdr:colOff>
          <xdr:row>46</xdr:row>
          <xdr:rowOff>0</xdr:rowOff>
        </xdr:from>
        <xdr:to>
          <xdr:col>10</xdr:col>
          <xdr:colOff>431800</xdr:colOff>
          <xdr:row>47</xdr:row>
          <xdr:rowOff>0</xdr:rowOff>
        </xdr:to>
        <xdr:sp macro="" textlink="">
          <xdr:nvSpPr>
            <xdr:cNvPr id="7264" name="Check Box 96" hidden="1">
              <a:extLst>
                <a:ext uri="{63B3BB69-23CF-44E3-9099-C40C66FF867C}">
                  <a14:compatExt spid="_x0000_s7264"/>
                </a:ext>
                <a:ext uri="{FF2B5EF4-FFF2-40B4-BE49-F238E27FC236}">
                  <a16:creationId xmlns:a16="http://schemas.microsoft.com/office/drawing/2014/main" id="{00000000-0008-0000-0600-000060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215900</xdr:colOff>
          <xdr:row>43</xdr:row>
          <xdr:rowOff>0</xdr:rowOff>
        </xdr:from>
        <xdr:to>
          <xdr:col>11</xdr:col>
          <xdr:colOff>431800</xdr:colOff>
          <xdr:row>44</xdr:row>
          <xdr:rowOff>0</xdr:rowOff>
        </xdr:to>
        <xdr:sp macro="" textlink="">
          <xdr:nvSpPr>
            <xdr:cNvPr id="7265" name="Check Box 97" hidden="1">
              <a:extLst>
                <a:ext uri="{63B3BB69-23CF-44E3-9099-C40C66FF867C}">
                  <a14:compatExt spid="_x0000_s7265"/>
                </a:ext>
                <a:ext uri="{FF2B5EF4-FFF2-40B4-BE49-F238E27FC236}">
                  <a16:creationId xmlns:a16="http://schemas.microsoft.com/office/drawing/2014/main" id="{00000000-0008-0000-0600-00006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215900</xdr:colOff>
          <xdr:row>44</xdr:row>
          <xdr:rowOff>0</xdr:rowOff>
        </xdr:from>
        <xdr:to>
          <xdr:col>11</xdr:col>
          <xdr:colOff>431800</xdr:colOff>
          <xdr:row>45</xdr:row>
          <xdr:rowOff>0</xdr:rowOff>
        </xdr:to>
        <xdr:sp macro="" textlink="">
          <xdr:nvSpPr>
            <xdr:cNvPr id="7266" name="Check Box 98" hidden="1">
              <a:extLst>
                <a:ext uri="{63B3BB69-23CF-44E3-9099-C40C66FF867C}">
                  <a14:compatExt spid="_x0000_s7266"/>
                </a:ext>
                <a:ext uri="{FF2B5EF4-FFF2-40B4-BE49-F238E27FC236}">
                  <a16:creationId xmlns:a16="http://schemas.microsoft.com/office/drawing/2014/main" id="{00000000-0008-0000-0600-00006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215900</xdr:colOff>
          <xdr:row>45</xdr:row>
          <xdr:rowOff>0</xdr:rowOff>
        </xdr:from>
        <xdr:to>
          <xdr:col>11</xdr:col>
          <xdr:colOff>431800</xdr:colOff>
          <xdr:row>46</xdr:row>
          <xdr:rowOff>0</xdr:rowOff>
        </xdr:to>
        <xdr:sp macro="" textlink="">
          <xdr:nvSpPr>
            <xdr:cNvPr id="7267" name="Check Box 99" hidden="1">
              <a:extLst>
                <a:ext uri="{63B3BB69-23CF-44E3-9099-C40C66FF867C}">
                  <a14:compatExt spid="_x0000_s7267"/>
                </a:ext>
                <a:ext uri="{FF2B5EF4-FFF2-40B4-BE49-F238E27FC236}">
                  <a16:creationId xmlns:a16="http://schemas.microsoft.com/office/drawing/2014/main" id="{00000000-0008-0000-0600-00006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215900</xdr:colOff>
          <xdr:row>46</xdr:row>
          <xdr:rowOff>0</xdr:rowOff>
        </xdr:from>
        <xdr:to>
          <xdr:col>11</xdr:col>
          <xdr:colOff>431800</xdr:colOff>
          <xdr:row>47</xdr:row>
          <xdr:rowOff>0</xdr:rowOff>
        </xdr:to>
        <xdr:sp macro="" textlink="">
          <xdr:nvSpPr>
            <xdr:cNvPr id="7268" name="Check Box 100" hidden="1">
              <a:extLst>
                <a:ext uri="{63B3BB69-23CF-44E3-9099-C40C66FF867C}">
                  <a14:compatExt spid="_x0000_s7268"/>
                </a:ext>
                <a:ext uri="{FF2B5EF4-FFF2-40B4-BE49-F238E27FC236}">
                  <a16:creationId xmlns:a16="http://schemas.microsoft.com/office/drawing/2014/main" id="{00000000-0008-0000-0600-00006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215900</xdr:colOff>
          <xdr:row>43</xdr:row>
          <xdr:rowOff>0</xdr:rowOff>
        </xdr:from>
        <xdr:to>
          <xdr:col>12</xdr:col>
          <xdr:colOff>431800</xdr:colOff>
          <xdr:row>44</xdr:row>
          <xdr:rowOff>0</xdr:rowOff>
        </xdr:to>
        <xdr:sp macro="" textlink="">
          <xdr:nvSpPr>
            <xdr:cNvPr id="7269" name="Check Box 101" hidden="1">
              <a:extLst>
                <a:ext uri="{63B3BB69-23CF-44E3-9099-C40C66FF867C}">
                  <a14:compatExt spid="_x0000_s7269"/>
                </a:ext>
                <a:ext uri="{FF2B5EF4-FFF2-40B4-BE49-F238E27FC236}">
                  <a16:creationId xmlns:a16="http://schemas.microsoft.com/office/drawing/2014/main" id="{00000000-0008-0000-0600-00006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215900</xdr:colOff>
          <xdr:row>44</xdr:row>
          <xdr:rowOff>0</xdr:rowOff>
        </xdr:from>
        <xdr:to>
          <xdr:col>12</xdr:col>
          <xdr:colOff>431800</xdr:colOff>
          <xdr:row>45</xdr:row>
          <xdr:rowOff>0</xdr:rowOff>
        </xdr:to>
        <xdr:sp macro="" textlink="">
          <xdr:nvSpPr>
            <xdr:cNvPr id="7270" name="Check Box 102" hidden="1">
              <a:extLst>
                <a:ext uri="{63B3BB69-23CF-44E3-9099-C40C66FF867C}">
                  <a14:compatExt spid="_x0000_s7270"/>
                </a:ext>
                <a:ext uri="{FF2B5EF4-FFF2-40B4-BE49-F238E27FC236}">
                  <a16:creationId xmlns:a16="http://schemas.microsoft.com/office/drawing/2014/main" id="{00000000-0008-0000-0600-000066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215900</xdr:colOff>
          <xdr:row>45</xdr:row>
          <xdr:rowOff>0</xdr:rowOff>
        </xdr:from>
        <xdr:to>
          <xdr:col>12</xdr:col>
          <xdr:colOff>431800</xdr:colOff>
          <xdr:row>46</xdr:row>
          <xdr:rowOff>0</xdr:rowOff>
        </xdr:to>
        <xdr:sp macro="" textlink="">
          <xdr:nvSpPr>
            <xdr:cNvPr id="7271" name="Check Box 103" hidden="1">
              <a:extLst>
                <a:ext uri="{63B3BB69-23CF-44E3-9099-C40C66FF867C}">
                  <a14:compatExt spid="_x0000_s7271"/>
                </a:ext>
                <a:ext uri="{FF2B5EF4-FFF2-40B4-BE49-F238E27FC236}">
                  <a16:creationId xmlns:a16="http://schemas.microsoft.com/office/drawing/2014/main" id="{00000000-0008-0000-0600-00006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215900</xdr:colOff>
          <xdr:row>46</xdr:row>
          <xdr:rowOff>0</xdr:rowOff>
        </xdr:from>
        <xdr:to>
          <xdr:col>12</xdr:col>
          <xdr:colOff>431800</xdr:colOff>
          <xdr:row>47</xdr:row>
          <xdr:rowOff>0</xdr:rowOff>
        </xdr:to>
        <xdr:sp macro="" textlink="">
          <xdr:nvSpPr>
            <xdr:cNvPr id="7272" name="Check Box 104" hidden="1">
              <a:extLst>
                <a:ext uri="{63B3BB69-23CF-44E3-9099-C40C66FF867C}">
                  <a14:compatExt spid="_x0000_s7272"/>
                </a:ext>
                <a:ext uri="{FF2B5EF4-FFF2-40B4-BE49-F238E27FC236}">
                  <a16:creationId xmlns:a16="http://schemas.microsoft.com/office/drawing/2014/main" id="{00000000-0008-0000-0600-000068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66</xdr:row>
          <xdr:rowOff>0</xdr:rowOff>
        </xdr:from>
        <xdr:to>
          <xdr:col>9</xdr:col>
          <xdr:colOff>622300</xdr:colOff>
          <xdr:row>67</xdr:row>
          <xdr:rowOff>0</xdr:rowOff>
        </xdr:to>
        <xdr:sp macro="" textlink="">
          <xdr:nvSpPr>
            <xdr:cNvPr id="7273" name="Check Box 105" hidden="1">
              <a:extLst>
                <a:ext uri="{63B3BB69-23CF-44E3-9099-C40C66FF867C}">
                  <a14:compatExt spid="_x0000_s7273"/>
                </a:ext>
                <a:ext uri="{FF2B5EF4-FFF2-40B4-BE49-F238E27FC236}">
                  <a16:creationId xmlns:a16="http://schemas.microsoft.com/office/drawing/2014/main" id="{00000000-0008-0000-0600-000069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66</xdr:row>
          <xdr:rowOff>254000</xdr:rowOff>
        </xdr:from>
        <xdr:to>
          <xdr:col>9</xdr:col>
          <xdr:colOff>622300</xdr:colOff>
          <xdr:row>69</xdr:row>
          <xdr:rowOff>0</xdr:rowOff>
        </xdr:to>
        <xdr:sp macro="" textlink="">
          <xdr:nvSpPr>
            <xdr:cNvPr id="7275" name="Check Box 107" hidden="1">
              <a:extLst>
                <a:ext uri="{63B3BB69-23CF-44E3-9099-C40C66FF867C}">
                  <a14:compatExt spid="_x0000_s7275"/>
                </a:ext>
                <a:ext uri="{FF2B5EF4-FFF2-40B4-BE49-F238E27FC236}">
                  <a16:creationId xmlns:a16="http://schemas.microsoft.com/office/drawing/2014/main" id="{00000000-0008-0000-0600-00006B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79</xdr:row>
          <xdr:rowOff>0</xdr:rowOff>
        </xdr:from>
        <xdr:to>
          <xdr:col>11</xdr:col>
          <xdr:colOff>622300</xdr:colOff>
          <xdr:row>80</xdr:row>
          <xdr:rowOff>0</xdr:rowOff>
        </xdr:to>
        <xdr:sp macro="" textlink="">
          <xdr:nvSpPr>
            <xdr:cNvPr id="7276" name="Check Box 108" hidden="1">
              <a:extLst>
                <a:ext uri="{63B3BB69-23CF-44E3-9099-C40C66FF867C}">
                  <a14:compatExt spid="_x0000_s7276"/>
                </a:ext>
                <a:ext uri="{FF2B5EF4-FFF2-40B4-BE49-F238E27FC236}">
                  <a16:creationId xmlns:a16="http://schemas.microsoft.com/office/drawing/2014/main" id="{00000000-0008-0000-0600-00006C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80</xdr:row>
          <xdr:rowOff>0</xdr:rowOff>
        </xdr:from>
        <xdr:to>
          <xdr:col>11</xdr:col>
          <xdr:colOff>622300</xdr:colOff>
          <xdr:row>81</xdr:row>
          <xdr:rowOff>0</xdr:rowOff>
        </xdr:to>
        <xdr:sp macro="" textlink="">
          <xdr:nvSpPr>
            <xdr:cNvPr id="7277" name="Check Box 109" hidden="1">
              <a:extLst>
                <a:ext uri="{63B3BB69-23CF-44E3-9099-C40C66FF867C}">
                  <a14:compatExt spid="_x0000_s7277"/>
                </a:ext>
                <a:ext uri="{FF2B5EF4-FFF2-40B4-BE49-F238E27FC236}">
                  <a16:creationId xmlns:a16="http://schemas.microsoft.com/office/drawing/2014/main" id="{00000000-0008-0000-0600-00006D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81</xdr:row>
          <xdr:rowOff>0</xdr:rowOff>
        </xdr:from>
        <xdr:to>
          <xdr:col>11</xdr:col>
          <xdr:colOff>622300</xdr:colOff>
          <xdr:row>82</xdr:row>
          <xdr:rowOff>0</xdr:rowOff>
        </xdr:to>
        <xdr:sp macro="" textlink="">
          <xdr:nvSpPr>
            <xdr:cNvPr id="7278" name="Check Box 110" hidden="1">
              <a:extLst>
                <a:ext uri="{63B3BB69-23CF-44E3-9099-C40C66FF867C}">
                  <a14:compatExt spid="_x0000_s7278"/>
                </a:ext>
                <a:ext uri="{FF2B5EF4-FFF2-40B4-BE49-F238E27FC236}">
                  <a16:creationId xmlns:a16="http://schemas.microsoft.com/office/drawing/2014/main" id="{00000000-0008-0000-0600-00006E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79</xdr:row>
          <xdr:rowOff>0</xdr:rowOff>
        </xdr:from>
        <xdr:to>
          <xdr:col>14</xdr:col>
          <xdr:colOff>622300</xdr:colOff>
          <xdr:row>80</xdr:row>
          <xdr:rowOff>0</xdr:rowOff>
        </xdr:to>
        <xdr:sp macro="" textlink="">
          <xdr:nvSpPr>
            <xdr:cNvPr id="7279" name="Check Box 111" hidden="1">
              <a:extLst>
                <a:ext uri="{63B3BB69-23CF-44E3-9099-C40C66FF867C}">
                  <a14:compatExt spid="_x0000_s7279"/>
                </a:ext>
                <a:ext uri="{FF2B5EF4-FFF2-40B4-BE49-F238E27FC236}">
                  <a16:creationId xmlns:a16="http://schemas.microsoft.com/office/drawing/2014/main" id="{00000000-0008-0000-0600-00006F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80</xdr:row>
          <xdr:rowOff>0</xdr:rowOff>
        </xdr:from>
        <xdr:to>
          <xdr:col>14</xdr:col>
          <xdr:colOff>622300</xdr:colOff>
          <xdr:row>81</xdr:row>
          <xdr:rowOff>0</xdr:rowOff>
        </xdr:to>
        <xdr:sp macro="" textlink="">
          <xdr:nvSpPr>
            <xdr:cNvPr id="7280" name="Check Box 112" hidden="1">
              <a:extLst>
                <a:ext uri="{63B3BB69-23CF-44E3-9099-C40C66FF867C}">
                  <a14:compatExt spid="_x0000_s7280"/>
                </a:ext>
                <a:ext uri="{FF2B5EF4-FFF2-40B4-BE49-F238E27FC236}">
                  <a16:creationId xmlns:a16="http://schemas.microsoft.com/office/drawing/2014/main" id="{00000000-0008-0000-0600-000070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81</xdr:row>
          <xdr:rowOff>0</xdr:rowOff>
        </xdr:from>
        <xdr:to>
          <xdr:col>14</xdr:col>
          <xdr:colOff>622300</xdr:colOff>
          <xdr:row>82</xdr:row>
          <xdr:rowOff>0</xdr:rowOff>
        </xdr:to>
        <xdr:sp macro="" textlink="">
          <xdr:nvSpPr>
            <xdr:cNvPr id="7281" name="Check Box 113" hidden="1">
              <a:extLst>
                <a:ext uri="{63B3BB69-23CF-44E3-9099-C40C66FF867C}">
                  <a14:compatExt spid="_x0000_s7281"/>
                </a:ext>
                <a:ext uri="{FF2B5EF4-FFF2-40B4-BE49-F238E27FC236}">
                  <a16:creationId xmlns:a16="http://schemas.microsoft.com/office/drawing/2014/main" id="{00000000-0008-0000-0600-00007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79</xdr:row>
          <xdr:rowOff>0</xdr:rowOff>
        </xdr:from>
        <xdr:to>
          <xdr:col>17</xdr:col>
          <xdr:colOff>622300</xdr:colOff>
          <xdr:row>80</xdr:row>
          <xdr:rowOff>0</xdr:rowOff>
        </xdr:to>
        <xdr:sp macro="" textlink="">
          <xdr:nvSpPr>
            <xdr:cNvPr id="7282" name="Check Box 114" hidden="1">
              <a:extLst>
                <a:ext uri="{63B3BB69-23CF-44E3-9099-C40C66FF867C}">
                  <a14:compatExt spid="_x0000_s7282"/>
                </a:ext>
                <a:ext uri="{FF2B5EF4-FFF2-40B4-BE49-F238E27FC236}">
                  <a16:creationId xmlns:a16="http://schemas.microsoft.com/office/drawing/2014/main" id="{00000000-0008-0000-0600-00007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82</xdr:row>
          <xdr:rowOff>0</xdr:rowOff>
        </xdr:from>
        <xdr:to>
          <xdr:col>11</xdr:col>
          <xdr:colOff>622300</xdr:colOff>
          <xdr:row>83</xdr:row>
          <xdr:rowOff>0</xdr:rowOff>
        </xdr:to>
        <xdr:sp macro="" textlink="">
          <xdr:nvSpPr>
            <xdr:cNvPr id="7283" name="Check Box 115" hidden="1">
              <a:extLst>
                <a:ext uri="{63B3BB69-23CF-44E3-9099-C40C66FF867C}">
                  <a14:compatExt spid="_x0000_s7283"/>
                </a:ext>
                <a:ext uri="{FF2B5EF4-FFF2-40B4-BE49-F238E27FC236}">
                  <a16:creationId xmlns:a16="http://schemas.microsoft.com/office/drawing/2014/main" id="{00000000-0008-0000-0600-00007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83</xdr:row>
          <xdr:rowOff>0</xdr:rowOff>
        </xdr:from>
        <xdr:to>
          <xdr:col>11</xdr:col>
          <xdr:colOff>622300</xdr:colOff>
          <xdr:row>84</xdr:row>
          <xdr:rowOff>0</xdr:rowOff>
        </xdr:to>
        <xdr:sp macro="" textlink="">
          <xdr:nvSpPr>
            <xdr:cNvPr id="7284" name="Check Box 116" hidden="1">
              <a:extLst>
                <a:ext uri="{63B3BB69-23CF-44E3-9099-C40C66FF867C}">
                  <a14:compatExt spid="_x0000_s7284"/>
                </a:ext>
                <a:ext uri="{FF2B5EF4-FFF2-40B4-BE49-F238E27FC236}">
                  <a16:creationId xmlns:a16="http://schemas.microsoft.com/office/drawing/2014/main" id="{00000000-0008-0000-0600-00007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82</xdr:row>
          <xdr:rowOff>0</xdr:rowOff>
        </xdr:from>
        <xdr:to>
          <xdr:col>14</xdr:col>
          <xdr:colOff>622300</xdr:colOff>
          <xdr:row>83</xdr:row>
          <xdr:rowOff>0</xdr:rowOff>
        </xdr:to>
        <xdr:sp macro="" textlink="">
          <xdr:nvSpPr>
            <xdr:cNvPr id="7285" name="Check Box 117" hidden="1">
              <a:extLst>
                <a:ext uri="{63B3BB69-23CF-44E3-9099-C40C66FF867C}">
                  <a14:compatExt spid="_x0000_s7285"/>
                </a:ext>
                <a:ext uri="{FF2B5EF4-FFF2-40B4-BE49-F238E27FC236}">
                  <a16:creationId xmlns:a16="http://schemas.microsoft.com/office/drawing/2014/main" id="{00000000-0008-0000-0600-00007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83</xdr:row>
          <xdr:rowOff>0</xdr:rowOff>
        </xdr:from>
        <xdr:to>
          <xdr:col>14</xdr:col>
          <xdr:colOff>622300</xdr:colOff>
          <xdr:row>84</xdr:row>
          <xdr:rowOff>0</xdr:rowOff>
        </xdr:to>
        <xdr:sp macro="" textlink="">
          <xdr:nvSpPr>
            <xdr:cNvPr id="7286" name="Check Box 118" hidden="1">
              <a:extLst>
                <a:ext uri="{63B3BB69-23CF-44E3-9099-C40C66FF867C}">
                  <a14:compatExt spid="_x0000_s7286"/>
                </a:ext>
                <a:ext uri="{FF2B5EF4-FFF2-40B4-BE49-F238E27FC236}">
                  <a16:creationId xmlns:a16="http://schemas.microsoft.com/office/drawing/2014/main" id="{00000000-0008-0000-0600-000076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82</xdr:row>
          <xdr:rowOff>0</xdr:rowOff>
        </xdr:from>
        <xdr:to>
          <xdr:col>17</xdr:col>
          <xdr:colOff>622300</xdr:colOff>
          <xdr:row>83</xdr:row>
          <xdr:rowOff>0</xdr:rowOff>
        </xdr:to>
        <xdr:sp macro="" textlink="">
          <xdr:nvSpPr>
            <xdr:cNvPr id="7287" name="Check Box 119" hidden="1">
              <a:extLst>
                <a:ext uri="{63B3BB69-23CF-44E3-9099-C40C66FF867C}">
                  <a14:compatExt spid="_x0000_s7287"/>
                </a:ext>
                <a:ext uri="{FF2B5EF4-FFF2-40B4-BE49-F238E27FC236}">
                  <a16:creationId xmlns:a16="http://schemas.microsoft.com/office/drawing/2014/main" id="{00000000-0008-0000-0600-00007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84</xdr:row>
          <xdr:rowOff>0</xdr:rowOff>
        </xdr:from>
        <xdr:to>
          <xdr:col>11</xdr:col>
          <xdr:colOff>622300</xdr:colOff>
          <xdr:row>85</xdr:row>
          <xdr:rowOff>0</xdr:rowOff>
        </xdr:to>
        <xdr:sp macro="" textlink="">
          <xdr:nvSpPr>
            <xdr:cNvPr id="7288" name="Check Box 120" hidden="1">
              <a:extLst>
                <a:ext uri="{63B3BB69-23CF-44E3-9099-C40C66FF867C}">
                  <a14:compatExt spid="_x0000_s7288"/>
                </a:ext>
                <a:ext uri="{FF2B5EF4-FFF2-40B4-BE49-F238E27FC236}">
                  <a16:creationId xmlns:a16="http://schemas.microsoft.com/office/drawing/2014/main" id="{00000000-0008-0000-0600-000078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85</xdr:row>
          <xdr:rowOff>0</xdr:rowOff>
        </xdr:from>
        <xdr:to>
          <xdr:col>11</xdr:col>
          <xdr:colOff>622300</xdr:colOff>
          <xdr:row>86</xdr:row>
          <xdr:rowOff>0</xdr:rowOff>
        </xdr:to>
        <xdr:sp macro="" textlink="">
          <xdr:nvSpPr>
            <xdr:cNvPr id="7289" name="Check Box 121" hidden="1">
              <a:extLst>
                <a:ext uri="{63B3BB69-23CF-44E3-9099-C40C66FF867C}">
                  <a14:compatExt spid="_x0000_s7289"/>
                </a:ext>
                <a:ext uri="{FF2B5EF4-FFF2-40B4-BE49-F238E27FC236}">
                  <a16:creationId xmlns:a16="http://schemas.microsoft.com/office/drawing/2014/main" id="{00000000-0008-0000-0600-000079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84</xdr:row>
          <xdr:rowOff>0</xdr:rowOff>
        </xdr:from>
        <xdr:to>
          <xdr:col>17</xdr:col>
          <xdr:colOff>622300</xdr:colOff>
          <xdr:row>85</xdr:row>
          <xdr:rowOff>0</xdr:rowOff>
        </xdr:to>
        <xdr:sp macro="" textlink="">
          <xdr:nvSpPr>
            <xdr:cNvPr id="7290" name="Check Box 122" hidden="1">
              <a:extLst>
                <a:ext uri="{63B3BB69-23CF-44E3-9099-C40C66FF867C}">
                  <a14:compatExt spid="_x0000_s7290"/>
                </a:ext>
                <a:ext uri="{FF2B5EF4-FFF2-40B4-BE49-F238E27FC236}">
                  <a16:creationId xmlns:a16="http://schemas.microsoft.com/office/drawing/2014/main" id="{00000000-0008-0000-0600-00007A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86</xdr:row>
          <xdr:rowOff>0</xdr:rowOff>
        </xdr:from>
        <xdr:to>
          <xdr:col>11</xdr:col>
          <xdr:colOff>622300</xdr:colOff>
          <xdr:row>87</xdr:row>
          <xdr:rowOff>0</xdr:rowOff>
        </xdr:to>
        <xdr:sp macro="" textlink="">
          <xdr:nvSpPr>
            <xdr:cNvPr id="7291" name="Check Box 123" hidden="1">
              <a:extLst>
                <a:ext uri="{63B3BB69-23CF-44E3-9099-C40C66FF867C}">
                  <a14:compatExt spid="_x0000_s7291"/>
                </a:ext>
                <a:ext uri="{FF2B5EF4-FFF2-40B4-BE49-F238E27FC236}">
                  <a16:creationId xmlns:a16="http://schemas.microsoft.com/office/drawing/2014/main" id="{00000000-0008-0000-0600-00007B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87</xdr:row>
          <xdr:rowOff>0</xdr:rowOff>
        </xdr:from>
        <xdr:to>
          <xdr:col>11</xdr:col>
          <xdr:colOff>622300</xdr:colOff>
          <xdr:row>88</xdr:row>
          <xdr:rowOff>0</xdr:rowOff>
        </xdr:to>
        <xdr:sp macro="" textlink="">
          <xdr:nvSpPr>
            <xdr:cNvPr id="7292" name="Check Box 124" hidden="1">
              <a:extLst>
                <a:ext uri="{63B3BB69-23CF-44E3-9099-C40C66FF867C}">
                  <a14:compatExt spid="_x0000_s7292"/>
                </a:ext>
                <a:ext uri="{FF2B5EF4-FFF2-40B4-BE49-F238E27FC236}">
                  <a16:creationId xmlns:a16="http://schemas.microsoft.com/office/drawing/2014/main" id="{00000000-0008-0000-0600-00007C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86</xdr:row>
          <xdr:rowOff>0</xdr:rowOff>
        </xdr:from>
        <xdr:to>
          <xdr:col>14</xdr:col>
          <xdr:colOff>622300</xdr:colOff>
          <xdr:row>87</xdr:row>
          <xdr:rowOff>0</xdr:rowOff>
        </xdr:to>
        <xdr:sp macro="" textlink="">
          <xdr:nvSpPr>
            <xdr:cNvPr id="7293" name="Check Box 125" hidden="1">
              <a:extLst>
                <a:ext uri="{63B3BB69-23CF-44E3-9099-C40C66FF867C}">
                  <a14:compatExt spid="_x0000_s7293"/>
                </a:ext>
                <a:ext uri="{FF2B5EF4-FFF2-40B4-BE49-F238E27FC236}">
                  <a16:creationId xmlns:a16="http://schemas.microsoft.com/office/drawing/2014/main" id="{00000000-0008-0000-0600-00007D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87</xdr:row>
          <xdr:rowOff>0</xdr:rowOff>
        </xdr:from>
        <xdr:to>
          <xdr:col>14</xdr:col>
          <xdr:colOff>622300</xdr:colOff>
          <xdr:row>88</xdr:row>
          <xdr:rowOff>0</xdr:rowOff>
        </xdr:to>
        <xdr:sp macro="" textlink="">
          <xdr:nvSpPr>
            <xdr:cNvPr id="7294" name="Check Box 126" hidden="1">
              <a:extLst>
                <a:ext uri="{63B3BB69-23CF-44E3-9099-C40C66FF867C}">
                  <a14:compatExt spid="_x0000_s7294"/>
                </a:ext>
                <a:ext uri="{FF2B5EF4-FFF2-40B4-BE49-F238E27FC236}">
                  <a16:creationId xmlns:a16="http://schemas.microsoft.com/office/drawing/2014/main" id="{00000000-0008-0000-0600-00007E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88</xdr:row>
          <xdr:rowOff>0</xdr:rowOff>
        </xdr:from>
        <xdr:to>
          <xdr:col>11</xdr:col>
          <xdr:colOff>622300</xdr:colOff>
          <xdr:row>89</xdr:row>
          <xdr:rowOff>0</xdr:rowOff>
        </xdr:to>
        <xdr:sp macro="" textlink="">
          <xdr:nvSpPr>
            <xdr:cNvPr id="7295" name="Check Box 127" hidden="1">
              <a:extLst>
                <a:ext uri="{63B3BB69-23CF-44E3-9099-C40C66FF867C}">
                  <a14:compatExt spid="_x0000_s7295"/>
                </a:ext>
                <a:ext uri="{FF2B5EF4-FFF2-40B4-BE49-F238E27FC236}">
                  <a16:creationId xmlns:a16="http://schemas.microsoft.com/office/drawing/2014/main" id="{00000000-0008-0000-0600-00007F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88</xdr:row>
          <xdr:rowOff>0</xdr:rowOff>
        </xdr:from>
        <xdr:to>
          <xdr:col>14</xdr:col>
          <xdr:colOff>622300</xdr:colOff>
          <xdr:row>89</xdr:row>
          <xdr:rowOff>0</xdr:rowOff>
        </xdr:to>
        <xdr:sp macro="" textlink="">
          <xdr:nvSpPr>
            <xdr:cNvPr id="7296" name="Check Box 128" hidden="1">
              <a:extLst>
                <a:ext uri="{63B3BB69-23CF-44E3-9099-C40C66FF867C}">
                  <a14:compatExt spid="_x0000_s7296"/>
                </a:ext>
                <a:ext uri="{FF2B5EF4-FFF2-40B4-BE49-F238E27FC236}">
                  <a16:creationId xmlns:a16="http://schemas.microsoft.com/office/drawing/2014/main" id="{00000000-0008-0000-0600-000080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88</xdr:row>
          <xdr:rowOff>0</xdr:rowOff>
        </xdr:from>
        <xdr:to>
          <xdr:col>17</xdr:col>
          <xdr:colOff>622300</xdr:colOff>
          <xdr:row>89</xdr:row>
          <xdr:rowOff>0</xdr:rowOff>
        </xdr:to>
        <xdr:sp macro="" textlink="">
          <xdr:nvSpPr>
            <xdr:cNvPr id="7297" name="Check Box 129" hidden="1">
              <a:extLst>
                <a:ext uri="{63B3BB69-23CF-44E3-9099-C40C66FF867C}">
                  <a14:compatExt spid="_x0000_s7297"/>
                </a:ext>
                <a:ext uri="{FF2B5EF4-FFF2-40B4-BE49-F238E27FC236}">
                  <a16:creationId xmlns:a16="http://schemas.microsoft.com/office/drawing/2014/main" id="{00000000-0008-0000-0600-00008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89</xdr:row>
          <xdr:rowOff>0</xdr:rowOff>
        </xdr:from>
        <xdr:to>
          <xdr:col>11</xdr:col>
          <xdr:colOff>622300</xdr:colOff>
          <xdr:row>90</xdr:row>
          <xdr:rowOff>0</xdr:rowOff>
        </xdr:to>
        <xdr:sp macro="" textlink="">
          <xdr:nvSpPr>
            <xdr:cNvPr id="7298" name="Check Box 130" hidden="1">
              <a:extLst>
                <a:ext uri="{63B3BB69-23CF-44E3-9099-C40C66FF867C}">
                  <a14:compatExt spid="_x0000_s7298"/>
                </a:ext>
                <a:ext uri="{FF2B5EF4-FFF2-40B4-BE49-F238E27FC236}">
                  <a16:creationId xmlns:a16="http://schemas.microsoft.com/office/drawing/2014/main" id="{00000000-0008-0000-0600-00008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90</xdr:row>
          <xdr:rowOff>0</xdr:rowOff>
        </xdr:from>
        <xdr:to>
          <xdr:col>11</xdr:col>
          <xdr:colOff>622300</xdr:colOff>
          <xdr:row>91</xdr:row>
          <xdr:rowOff>0</xdr:rowOff>
        </xdr:to>
        <xdr:sp macro="" textlink="">
          <xdr:nvSpPr>
            <xdr:cNvPr id="7299" name="Check Box 131" hidden="1">
              <a:extLst>
                <a:ext uri="{63B3BB69-23CF-44E3-9099-C40C66FF867C}">
                  <a14:compatExt spid="_x0000_s7299"/>
                </a:ext>
                <a:ext uri="{FF2B5EF4-FFF2-40B4-BE49-F238E27FC236}">
                  <a16:creationId xmlns:a16="http://schemas.microsoft.com/office/drawing/2014/main" id="{00000000-0008-0000-0600-00008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91</xdr:row>
          <xdr:rowOff>0</xdr:rowOff>
        </xdr:from>
        <xdr:to>
          <xdr:col>11</xdr:col>
          <xdr:colOff>622300</xdr:colOff>
          <xdr:row>92</xdr:row>
          <xdr:rowOff>0</xdr:rowOff>
        </xdr:to>
        <xdr:sp macro="" textlink="">
          <xdr:nvSpPr>
            <xdr:cNvPr id="7300" name="Check Box 132" hidden="1">
              <a:extLst>
                <a:ext uri="{63B3BB69-23CF-44E3-9099-C40C66FF867C}">
                  <a14:compatExt spid="_x0000_s7300"/>
                </a:ext>
                <a:ext uri="{FF2B5EF4-FFF2-40B4-BE49-F238E27FC236}">
                  <a16:creationId xmlns:a16="http://schemas.microsoft.com/office/drawing/2014/main" id="{00000000-0008-0000-0600-00008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89</xdr:row>
          <xdr:rowOff>0</xdr:rowOff>
        </xdr:from>
        <xdr:to>
          <xdr:col>14</xdr:col>
          <xdr:colOff>622300</xdr:colOff>
          <xdr:row>90</xdr:row>
          <xdr:rowOff>0</xdr:rowOff>
        </xdr:to>
        <xdr:sp macro="" textlink="">
          <xdr:nvSpPr>
            <xdr:cNvPr id="7301" name="Check Box 133" hidden="1">
              <a:extLst>
                <a:ext uri="{63B3BB69-23CF-44E3-9099-C40C66FF867C}">
                  <a14:compatExt spid="_x0000_s7301"/>
                </a:ext>
                <a:ext uri="{FF2B5EF4-FFF2-40B4-BE49-F238E27FC236}">
                  <a16:creationId xmlns:a16="http://schemas.microsoft.com/office/drawing/2014/main" id="{00000000-0008-0000-0600-00008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90</xdr:row>
          <xdr:rowOff>0</xdr:rowOff>
        </xdr:from>
        <xdr:to>
          <xdr:col>14</xdr:col>
          <xdr:colOff>622300</xdr:colOff>
          <xdr:row>91</xdr:row>
          <xdr:rowOff>0</xdr:rowOff>
        </xdr:to>
        <xdr:sp macro="" textlink="">
          <xdr:nvSpPr>
            <xdr:cNvPr id="7302" name="Check Box 134" hidden="1">
              <a:extLst>
                <a:ext uri="{63B3BB69-23CF-44E3-9099-C40C66FF867C}">
                  <a14:compatExt spid="_x0000_s7302"/>
                </a:ext>
                <a:ext uri="{FF2B5EF4-FFF2-40B4-BE49-F238E27FC236}">
                  <a16:creationId xmlns:a16="http://schemas.microsoft.com/office/drawing/2014/main" id="{00000000-0008-0000-0600-000086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91</xdr:row>
          <xdr:rowOff>0</xdr:rowOff>
        </xdr:from>
        <xdr:to>
          <xdr:col>14</xdr:col>
          <xdr:colOff>622300</xdr:colOff>
          <xdr:row>92</xdr:row>
          <xdr:rowOff>0</xdr:rowOff>
        </xdr:to>
        <xdr:sp macro="" textlink="">
          <xdr:nvSpPr>
            <xdr:cNvPr id="7303" name="Check Box 135" hidden="1">
              <a:extLst>
                <a:ext uri="{63B3BB69-23CF-44E3-9099-C40C66FF867C}">
                  <a14:compatExt spid="_x0000_s7303"/>
                </a:ext>
                <a:ext uri="{FF2B5EF4-FFF2-40B4-BE49-F238E27FC236}">
                  <a16:creationId xmlns:a16="http://schemas.microsoft.com/office/drawing/2014/main" id="{00000000-0008-0000-0600-00008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89</xdr:row>
          <xdr:rowOff>0</xdr:rowOff>
        </xdr:from>
        <xdr:to>
          <xdr:col>17</xdr:col>
          <xdr:colOff>622300</xdr:colOff>
          <xdr:row>90</xdr:row>
          <xdr:rowOff>0</xdr:rowOff>
        </xdr:to>
        <xdr:sp macro="" textlink="">
          <xdr:nvSpPr>
            <xdr:cNvPr id="7304" name="Check Box 136" hidden="1">
              <a:extLst>
                <a:ext uri="{63B3BB69-23CF-44E3-9099-C40C66FF867C}">
                  <a14:compatExt spid="_x0000_s7304"/>
                </a:ext>
                <a:ext uri="{FF2B5EF4-FFF2-40B4-BE49-F238E27FC236}">
                  <a16:creationId xmlns:a16="http://schemas.microsoft.com/office/drawing/2014/main" id="{00000000-0008-0000-0600-000088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91</xdr:row>
          <xdr:rowOff>0</xdr:rowOff>
        </xdr:from>
        <xdr:to>
          <xdr:col>17</xdr:col>
          <xdr:colOff>622300</xdr:colOff>
          <xdr:row>92</xdr:row>
          <xdr:rowOff>0</xdr:rowOff>
        </xdr:to>
        <xdr:sp macro="" textlink="">
          <xdr:nvSpPr>
            <xdr:cNvPr id="7305" name="Check Box 137" hidden="1">
              <a:extLst>
                <a:ext uri="{63B3BB69-23CF-44E3-9099-C40C66FF867C}">
                  <a14:compatExt spid="_x0000_s7305"/>
                </a:ext>
                <a:ext uri="{FF2B5EF4-FFF2-40B4-BE49-F238E27FC236}">
                  <a16:creationId xmlns:a16="http://schemas.microsoft.com/office/drawing/2014/main" id="{00000000-0008-0000-0600-000089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21</xdr:row>
          <xdr:rowOff>0</xdr:rowOff>
        </xdr:from>
        <xdr:to>
          <xdr:col>19</xdr:col>
          <xdr:colOff>431800</xdr:colOff>
          <xdr:row>22</xdr:row>
          <xdr:rowOff>0</xdr:rowOff>
        </xdr:to>
        <xdr:sp macro="" textlink="">
          <xdr:nvSpPr>
            <xdr:cNvPr id="7306" name="Check Box 138" hidden="1">
              <a:extLst>
                <a:ext uri="{63B3BB69-23CF-44E3-9099-C40C66FF867C}">
                  <a14:compatExt spid="_x0000_s7306"/>
                </a:ext>
                <a:ext uri="{FF2B5EF4-FFF2-40B4-BE49-F238E27FC236}">
                  <a16:creationId xmlns:a16="http://schemas.microsoft.com/office/drawing/2014/main" id="{00000000-0008-0000-0600-00008A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22</xdr:row>
          <xdr:rowOff>0</xdr:rowOff>
        </xdr:from>
        <xdr:to>
          <xdr:col>19</xdr:col>
          <xdr:colOff>431800</xdr:colOff>
          <xdr:row>23</xdr:row>
          <xdr:rowOff>0</xdr:rowOff>
        </xdr:to>
        <xdr:sp macro="" textlink="">
          <xdr:nvSpPr>
            <xdr:cNvPr id="7307" name="Check Box 139" hidden="1">
              <a:extLst>
                <a:ext uri="{63B3BB69-23CF-44E3-9099-C40C66FF867C}">
                  <a14:compatExt spid="_x0000_s7307"/>
                </a:ext>
                <a:ext uri="{FF2B5EF4-FFF2-40B4-BE49-F238E27FC236}">
                  <a16:creationId xmlns:a16="http://schemas.microsoft.com/office/drawing/2014/main" id="{00000000-0008-0000-0600-00008B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23</xdr:row>
          <xdr:rowOff>0</xdr:rowOff>
        </xdr:from>
        <xdr:to>
          <xdr:col>19</xdr:col>
          <xdr:colOff>431800</xdr:colOff>
          <xdr:row>24</xdr:row>
          <xdr:rowOff>0</xdr:rowOff>
        </xdr:to>
        <xdr:sp macro="" textlink="">
          <xdr:nvSpPr>
            <xdr:cNvPr id="7308" name="Check Box 140" hidden="1">
              <a:extLst>
                <a:ext uri="{63B3BB69-23CF-44E3-9099-C40C66FF867C}">
                  <a14:compatExt spid="_x0000_s7308"/>
                </a:ext>
                <a:ext uri="{FF2B5EF4-FFF2-40B4-BE49-F238E27FC236}">
                  <a16:creationId xmlns:a16="http://schemas.microsoft.com/office/drawing/2014/main" id="{00000000-0008-0000-0600-00008C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24</xdr:row>
          <xdr:rowOff>0</xdr:rowOff>
        </xdr:from>
        <xdr:to>
          <xdr:col>19</xdr:col>
          <xdr:colOff>431800</xdr:colOff>
          <xdr:row>25</xdr:row>
          <xdr:rowOff>0</xdr:rowOff>
        </xdr:to>
        <xdr:sp macro="" textlink="">
          <xdr:nvSpPr>
            <xdr:cNvPr id="7309" name="Check Box 141" hidden="1">
              <a:extLst>
                <a:ext uri="{63B3BB69-23CF-44E3-9099-C40C66FF867C}">
                  <a14:compatExt spid="_x0000_s7309"/>
                </a:ext>
                <a:ext uri="{FF2B5EF4-FFF2-40B4-BE49-F238E27FC236}">
                  <a16:creationId xmlns:a16="http://schemas.microsoft.com/office/drawing/2014/main" id="{00000000-0008-0000-0600-00008D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25</xdr:row>
          <xdr:rowOff>0</xdr:rowOff>
        </xdr:from>
        <xdr:to>
          <xdr:col>19</xdr:col>
          <xdr:colOff>431800</xdr:colOff>
          <xdr:row>26</xdr:row>
          <xdr:rowOff>0</xdr:rowOff>
        </xdr:to>
        <xdr:sp macro="" textlink="">
          <xdr:nvSpPr>
            <xdr:cNvPr id="7310" name="Check Box 142" hidden="1">
              <a:extLst>
                <a:ext uri="{63B3BB69-23CF-44E3-9099-C40C66FF867C}">
                  <a14:compatExt spid="_x0000_s7310"/>
                </a:ext>
                <a:ext uri="{FF2B5EF4-FFF2-40B4-BE49-F238E27FC236}">
                  <a16:creationId xmlns:a16="http://schemas.microsoft.com/office/drawing/2014/main" id="{00000000-0008-0000-0600-00008E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26</xdr:row>
          <xdr:rowOff>0</xdr:rowOff>
        </xdr:from>
        <xdr:to>
          <xdr:col>19</xdr:col>
          <xdr:colOff>431800</xdr:colOff>
          <xdr:row>27</xdr:row>
          <xdr:rowOff>0</xdr:rowOff>
        </xdr:to>
        <xdr:sp macro="" textlink="">
          <xdr:nvSpPr>
            <xdr:cNvPr id="7311" name="Check Box 143" hidden="1">
              <a:extLst>
                <a:ext uri="{63B3BB69-23CF-44E3-9099-C40C66FF867C}">
                  <a14:compatExt spid="_x0000_s7311"/>
                </a:ext>
                <a:ext uri="{FF2B5EF4-FFF2-40B4-BE49-F238E27FC236}">
                  <a16:creationId xmlns:a16="http://schemas.microsoft.com/office/drawing/2014/main" id="{00000000-0008-0000-0600-00008F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27</xdr:row>
          <xdr:rowOff>0</xdr:rowOff>
        </xdr:from>
        <xdr:to>
          <xdr:col>19</xdr:col>
          <xdr:colOff>431800</xdr:colOff>
          <xdr:row>28</xdr:row>
          <xdr:rowOff>0</xdr:rowOff>
        </xdr:to>
        <xdr:sp macro="" textlink="">
          <xdr:nvSpPr>
            <xdr:cNvPr id="7312" name="Check Box 144" hidden="1">
              <a:extLst>
                <a:ext uri="{63B3BB69-23CF-44E3-9099-C40C66FF867C}">
                  <a14:compatExt spid="_x0000_s7312"/>
                </a:ext>
                <a:ext uri="{FF2B5EF4-FFF2-40B4-BE49-F238E27FC236}">
                  <a16:creationId xmlns:a16="http://schemas.microsoft.com/office/drawing/2014/main" id="{00000000-0008-0000-0600-000090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31</xdr:row>
          <xdr:rowOff>0</xdr:rowOff>
        </xdr:from>
        <xdr:to>
          <xdr:col>19</xdr:col>
          <xdr:colOff>431800</xdr:colOff>
          <xdr:row>32</xdr:row>
          <xdr:rowOff>0</xdr:rowOff>
        </xdr:to>
        <xdr:sp macro="" textlink="">
          <xdr:nvSpPr>
            <xdr:cNvPr id="7313" name="Check Box 145" hidden="1">
              <a:extLst>
                <a:ext uri="{63B3BB69-23CF-44E3-9099-C40C66FF867C}">
                  <a14:compatExt spid="_x0000_s7313"/>
                </a:ext>
                <a:ext uri="{FF2B5EF4-FFF2-40B4-BE49-F238E27FC236}">
                  <a16:creationId xmlns:a16="http://schemas.microsoft.com/office/drawing/2014/main" id="{00000000-0008-0000-0600-00009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32</xdr:row>
          <xdr:rowOff>0</xdr:rowOff>
        </xdr:from>
        <xdr:to>
          <xdr:col>19</xdr:col>
          <xdr:colOff>431800</xdr:colOff>
          <xdr:row>33</xdr:row>
          <xdr:rowOff>0</xdr:rowOff>
        </xdr:to>
        <xdr:sp macro="" textlink="">
          <xdr:nvSpPr>
            <xdr:cNvPr id="7314" name="Check Box 146" hidden="1">
              <a:extLst>
                <a:ext uri="{63B3BB69-23CF-44E3-9099-C40C66FF867C}">
                  <a14:compatExt spid="_x0000_s7314"/>
                </a:ext>
                <a:ext uri="{FF2B5EF4-FFF2-40B4-BE49-F238E27FC236}">
                  <a16:creationId xmlns:a16="http://schemas.microsoft.com/office/drawing/2014/main" id="{00000000-0008-0000-0600-00009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36</xdr:row>
          <xdr:rowOff>0</xdr:rowOff>
        </xdr:from>
        <xdr:to>
          <xdr:col>19</xdr:col>
          <xdr:colOff>431800</xdr:colOff>
          <xdr:row>37</xdr:row>
          <xdr:rowOff>0</xdr:rowOff>
        </xdr:to>
        <xdr:sp macro="" textlink="">
          <xdr:nvSpPr>
            <xdr:cNvPr id="7315" name="Check Box 147" hidden="1">
              <a:extLst>
                <a:ext uri="{63B3BB69-23CF-44E3-9099-C40C66FF867C}">
                  <a14:compatExt spid="_x0000_s7315"/>
                </a:ext>
                <a:ext uri="{FF2B5EF4-FFF2-40B4-BE49-F238E27FC236}">
                  <a16:creationId xmlns:a16="http://schemas.microsoft.com/office/drawing/2014/main" id="{00000000-0008-0000-0600-00009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37</xdr:row>
          <xdr:rowOff>0</xdr:rowOff>
        </xdr:from>
        <xdr:to>
          <xdr:col>19</xdr:col>
          <xdr:colOff>431800</xdr:colOff>
          <xdr:row>38</xdr:row>
          <xdr:rowOff>0</xdr:rowOff>
        </xdr:to>
        <xdr:sp macro="" textlink="">
          <xdr:nvSpPr>
            <xdr:cNvPr id="7316" name="Check Box 148" hidden="1">
              <a:extLst>
                <a:ext uri="{63B3BB69-23CF-44E3-9099-C40C66FF867C}">
                  <a14:compatExt spid="_x0000_s7316"/>
                </a:ext>
                <a:ext uri="{FF2B5EF4-FFF2-40B4-BE49-F238E27FC236}">
                  <a16:creationId xmlns:a16="http://schemas.microsoft.com/office/drawing/2014/main" id="{00000000-0008-0000-0600-00009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38</xdr:row>
          <xdr:rowOff>0</xdr:rowOff>
        </xdr:from>
        <xdr:to>
          <xdr:col>19</xdr:col>
          <xdr:colOff>431800</xdr:colOff>
          <xdr:row>39</xdr:row>
          <xdr:rowOff>0</xdr:rowOff>
        </xdr:to>
        <xdr:sp macro="" textlink="">
          <xdr:nvSpPr>
            <xdr:cNvPr id="7317" name="Check Box 149" hidden="1">
              <a:extLst>
                <a:ext uri="{63B3BB69-23CF-44E3-9099-C40C66FF867C}">
                  <a14:compatExt spid="_x0000_s7317"/>
                </a:ext>
                <a:ext uri="{FF2B5EF4-FFF2-40B4-BE49-F238E27FC236}">
                  <a16:creationId xmlns:a16="http://schemas.microsoft.com/office/drawing/2014/main" id="{00000000-0008-0000-0600-00009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39</xdr:row>
          <xdr:rowOff>0</xdr:rowOff>
        </xdr:from>
        <xdr:to>
          <xdr:col>19</xdr:col>
          <xdr:colOff>431800</xdr:colOff>
          <xdr:row>40</xdr:row>
          <xdr:rowOff>0</xdr:rowOff>
        </xdr:to>
        <xdr:sp macro="" textlink="">
          <xdr:nvSpPr>
            <xdr:cNvPr id="7318" name="Check Box 150" hidden="1">
              <a:extLst>
                <a:ext uri="{63B3BB69-23CF-44E3-9099-C40C66FF867C}">
                  <a14:compatExt spid="_x0000_s7318"/>
                </a:ext>
                <a:ext uri="{FF2B5EF4-FFF2-40B4-BE49-F238E27FC236}">
                  <a16:creationId xmlns:a16="http://schemas.microsoft.com/office/drawing/2014/main" id="{00000000-0008-0000-0600-000096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66</xdr:row>
          <xdr:rowOff>0</xdr:rowOff>
        </xdr:from>
        <xdr:to>
          <xdr:col>14</xdr:col>
          <xdr:colOff>622300</xdr:colOff>
          <xdr:row>67</xdr:row>
          <xdr:rowOff>0</xdr:rowOff>
        </xdr:to>
        <xdr:sp macro="" textlink="">
          <xdr:nvSpPr>
            <xdr:cNvPr id="7348" name="Check Box 180" hidden="1">
              <a:extLst>
                <a:ext uri="{63B3BB69-23CF-44E3-9099-C40C66FF867C}">
                  <a14:compatExt spid="_x0000_s7348"/>
                </a:ext>
                <a:ext uri="{FF2B5EF4-FFF2-40B4-BE49-F238E27FC236}">
                  <a16:creationId xmlns:a16="http://schemas.microsoft.com/office/drawing/2014/main" id="{00000000-0008-0000-0600-0000B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43</xdr:row>
          <xdr:rowOff>0</xdr:rowOff>
        </xdr:from>
        <xdr:to>
          <xdr:col>19</xdr:col>
          <xdr:colOff>431800</xdr:colOff>
          <xdr:row>44</xdr:row>
          <xdr:rowOff>0</xdr:rowOff>
        </xdr:to>
        <xdr:sp macro="" textlink="">
          <xdr:nvSpPr>
            <xdr:cNvPr id="7319" name="Check Box 151" hidden="1">
              <a:extLst>
                <a:ext uri="{63B3BB69-23CF-44E3-9099-C40C66FF867C}">
                  <a14:compatExt spid="_x0000_s7319"/>
                </a:ext>
                <a:ext uri="{FF2B5EF4-FFF2-40B4-BE49-F238E27FC236}">
                  <a16:creationId xmlns:a16="http://schemas.microsoft.com/office/drawing/2014/main" id="{00000000-0008-0000-0600-00009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44</xdr:row>
          <xdr:rowOff>0</xdr:rowOff>
        </xdr:from>
        <xdr:to>
          <xdr:col>19</xdr:col>
          <xdr:colOff>431800</xdr:colOff>
          <xdr:row>45</xdr:row>
          <xdr:rowOff>0</xdr:rowOff>
        </xdr:to>
        <xdr:sp macro="" textlink="">
          <xdr:nvSpPr>
            <xdr:cNvPr id="7320" name="Check Box 152" hidden="1">
              <a:extLst>
                <a:ext uri="{63B3BB69-23CF-44E3-9099-C40C66FF867C}">
                  <a14:compatExt spid="_x0000_s7320"/>
                </a:ext>
                <a:ext uri="{FF2B5EF4-FFF2-40B4-BE49-F238E27FC236}">
                  <a16:creationId xmlns:a16="http://schemas.microsoft.com/office/drawing/2014/main" id="{00000000-0008-0000-0600-000098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45</xdr:row>
          <xdr:rowOff>0</xdr:rowOff>
        </xdr:from>
        <xdr:to>
          <xdr:col>19</xdr:col>
          <xdr:colOff>431800</xdr:colOff>
          <xdr:row>46</xdr:row>
          <xdr:rowOff>0</xdr:rowOff>
        </xdr:to>
        <xdr:sp macro="" textlink="">
          <xdr:nvSpPr>
            <xdr:cNvPr id="7321" name="Check Box 153" hidden="1">
              <a:extLst>
                <a:ext uri="{63B3BB69-23CF-44E3-9099-C40C66FF867C}">
                  <a14:compatExt spid="_x0000_s7321"/>
                </a:ext>
                <a:ext uri="{FF2B5EF4-FFF2-40B4-BE49-F238E27FC236}">
                  <a16:creationId xmlns:a16="http://schemas.microsoft.com/office/drawing/2014/main" id="{00000000-0008-0000-0600-000099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46</xdr:row>
          <xdr:rowOff>0</xdr:rowOff>
        </xdr:from>
        <xdr:to>
          <xdr:col>19</xdr:col>
          <xdr:colOff>431800</xdr:colOff>
          <xdr:row>47</xdr:row>
          <xdr:rowOff>0</xdr:rowOff>
        </xdr:to>
        <xdr:sp macro="" textlink="">
          <xdr:nvSpPr>
            <xdr:cNvPr id="7322" name="Check Box 154" hidden="1">
              <a:extLst>
                <a:ext uri="{63B3BB69-23CF-44E3-9099-C40C66FF867C}">
                  <a14:compatExt spid="_x0000_s7322"/>
                </a:ext>
                <a:ext uri="{FF2B5EF4-FFF2-40B4-BE49-F238E27FC236}">
                  <a16:creationId xmlns:a16="http://schemas.microsoft.com/office/drawing/2014/main" id="{00000000-0008-0000-0600-00009A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50</xdr:row>
          <xdr:rowOff>0</xdr:rowOff>
        </xdr:from>
        <xdr:to>
          <xdr:col>19</xdr:col>
          <xdr:colOff>431800</xdr:colOff>
          <xdr:row>51</xdr:row>
          <xdr:rowOff>0</xdr:rowOff>
        </xdr:to>
        <xdr:sp macro="" textlink="">
          <xdr:nvSpPr>
            <xdr:cNvPr id="7323" name="Check Box 155" hidden="1">
              <a:extLst>
                <a:ext uri="{63B3BB69-23CF-44E3-9099-C40C66FF867C}">
                  <a14:compatExt spid="_x0000_s7323"/>
                </a:ext>
                <a:ext uri="{FF2B5EF4-FFF2-40B4-BE49-F238E27FC236}">
                  <a16:creationId xmlns:a16="http://schemas.microsoft.com/office/drawing/2014/main" id="{00000000-0008-0000-0600-00009B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51</xdr:row>
          <xdr:rowOff>0</xdr:rowOff>
        </xdr:from>
        <xdr:to>
          <xdr:col>19</xdr:col>
          <xdr:colOff>431800</xdr:colOff>
          <xdr:row>52</xdr:row>
          <xdr:rowOff>0</xdr:rowOff>
        </xdr:to>
        <xdr:sp macro="" textlink="">
          <xdr:nvSpPr>
            <xdr:cNvPr id="7324" name="Check Box 156" hidden="1">
              <a:extLst>
                <a:ext uri="{63B3BB69-23CF-44E3-9099-C40C66FF867C}">
                  <a14:compatExt spid="_x0000_s7324"/>
                </a:ext>
                <a:ext uri="{FF2B5EF4-FFF2-40B4-BE49-F238E27FC236}">
                  <a16:creationId xmlns:a16="http://schemas.microsoft.com/office/drawing/2014/main" id="{00000000-0008-0000-0600-00009C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55</xdr:row>
          <xdr:rowOff>0</xdr:rowOff>
        </xdr:from>
        <xdr:to>
          <xdr:col>19</xdr:col>
          <xdr:colOff>431800</xdr:colOff>
          <xdr:row>56</xdr:row>
          <xdr:rowOff>0</xdr:rowOff>
        </xdr:to>
        <xdr:sp macro="" textlink="">
          <xdr:nvSpPr>
            <xdr:cNvPr id="7325" name="Check Box 157" hidden="1">
              <a:extLst>
                <a:ext uri="{63B3BB69-23CF-44E3-9099-C40C66FF867C}">
                  <a14:compatExt spid="_x0000_s7325"/>
                </a:ext>
                <a:ext uri="{FF2B5EF4-FFF2-40B4-BE49-F238E27FC236}">
                  <a16:creationId xmlns:a16="http://schemas.microsoft.com/office/drawing/2014/main" id="{00000000-0008-0000-0600-00009D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56</xdr:row>
          <xdr:rowOff>0</xdr:rowOff>
        </xdr:from>
        <xdr:to>
          <xdr:col>19</xdr:col>
          <xdr:colOff>431800</xdr:colOff>
          <xdr:row>57</xdr:row>
          <xdr:rowOff>0</xdr:rowOff>
        </xdr:to>
        <xdr:sp macro="" textlink="">
          <xdr:nvSpPr>
            <xdr:cNvPr id="7326" name="Check Box 158" hidden="1">
              <a:extLst>
                <a:ext uri="{63B3BB69-23CF-44E3-9099-C40C66FF867C}">
                  <a14:compatExt spid="_x0000_s7326"/>
                </a:ext>
                <a:ext uri="{FF2B5EF4-FFF2-40B4-BE49-F238E27FC236}">
                  <a16:creationId xmlns:a16="http://schemas.microsoft.com/office/drawing/2014/main" id="{00000000-0008-0000-0600-00009E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57</xdr:row>
          <xdr:rowOff>0</xdr:rowOff>
        </xdr:from>
        <xdr:to>
          <xdr:col>19</xdr:col>
          <xdr:colOff>431800</xdr:colOff>
          <xdr:row>58</xdr:row>
          <xdr:rowOff>0</xdr:rowOff>
        </xdr:to>
        <xdr:sp macro="" textlink="">
          <xdr:nvSpPr>
            <xdr:cNvPr id="7327" name="Check Box 159" hidden="1">
              <a:extLst>
                <a:ext uri="{63B3BB69-23CF-44E3-9099-C40C66FF867C}">
                  <a14:compatExt spid="_x0000_s7327"/>
                </a:ext>
                <a:ext uri="{FF2B5EF4-FFF2-40B4-BE49-F238E27FC236}">
                  <a16:creationId xmlns:a16="http://schemas.microsoft.com/office/drawing/2014/main" id="{00000000-0008-0000-0600-00009F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58</xdr:row>
          <xdr:rowOff>0</xdr:rowOff>
        </xdr:from>
        <xdr:to>
          <xdr:col>19</xdr:col>
          <xdr:colOff>431800</xdr:colOff>
          <xdr:row>59</xdr:row>
          <xdr:rowOff>0</xdr:rowOff>
        </xdr:to>
        <xdr:sp macro="" textlink="">
          <xdr:nvSpPr>
            <xdr:cNvPr id="7328" name="Check Box 160" hidden="1">
              <a:extLst>
                <a:ext uri="{63B3BB69-23CF-44E3-9099-C40C66FF867C}">
                  <a14:compatExt spid="_x0000_s7328"/>
                </a:ext>
                <a:ext uri="{FF2B5EF4-FFF2-40B4-BE49-F238E27FC236}">
                  <a16:creationId xmlns:a16="http://schemas.microsoft.com/office/drawing/2014/main" id="{00000000-0008-0000-0600-0000A0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59</xdr:row>
          <xdr:rowOff>0</xdr:rowOff>
        </xdr:from>
        <xdr:to>
          <xdr:col>19</xdr:col>
          <xdr:colOff>431800</xdr:colOff>
          <xdr:row>60</xdr:row>
          <xdr:rowOff>0</xdr:rowOff>
        </xdr:to>
        <xdr:sp macro="" textlink="">
          <xdr:nvSpPr>
            <xdr:cNvPr id="7329" name="Check Box 161" hidden="1">
              <a:extLst>
                <a:ext uri="{63B3BB69-23CF-44E3-9099-C40C66FF867C}">
                  <a14:compatExt spid="_x0000_s7329"/>
                </a:ext>
                <a:ext uri="{FF2B5EF4-FFF2-40B4-BE49-F238E27FC236}">
                  <a16:creationId xmlns:a16="http://schemas.microsoft.com/office/drawing/2014/main" id="{00000000-0008-0000-0600-0000A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60</xdr:row>
          <xdr:rowOff>0</xdr:rowOff>
        </xdr:from>
        <xdr:to>
          <xdr:col>19</xdr:col>
          <xdr:colOff>431800</xdr:colOff>
          <xdr:row>61</xdr:row>
          <xdr:rowOff>0</xdr:rowOff>
        </xdr:to>
        <xdr:sp macro="" textlink="">
          <xdr:nvSpPr>
            <xdr:cNvPr id="7330" name="Check Box 162" hidden="1">
              <a:extLst>
                <a:ext uri="{63B3BB69-23CF-44E3-9099-C40C66FF867C}">
                  <a14:compatExt spid="_x0000_s7330"/>
                </a:ext>
                <a:ext uri="{FF2B5EF4-FFF2-40B4-BE49-F238E27FC236}">
                  <a16:creationId xmlns:a16="http://schemas.microsoft.com/office/drawing/2014/main" id="{00000000-0008-0000-0600-0000A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61</xdr:row>
          <xdr:rowOff>0</xdr:rowOff>
        </xdr:from>
        <xdr:to>
          <xdr:col>19</xdr:col>
          <xdr:colOff>431800</xdr:colOff>
          <xdr:row>62</xdr:row>
          <xdr:rowOff>0</xdr:rowOff>
        </xdr:to>
        <xdr:sp macro="" textlink="">
          <xdr:nvSpPr>
            <xdr:cNvPr id="7331" name="Check Box 163" hidden="1">
              <a:extLst>
                <a:ext uri="{63B3BB69-23CF-44E3-9099-C40C66FF867C}">
                  <a14:compatExt spid="_x0000_s7331"/>
                </a:ext>
                <a:ext uri="{FF2B5EF4-FFF2-40B4-BE49-F238E27FC236}">
                  <a16:creationId xmlns:a16="http://schemas.microsoft.com/office/drawing/2014/main" id="{00000000-0008-0000-0600-0000A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62</xdr:row>
          <xdr:rowOff>0</xdr:rowOff>
        </xdr:from>
        <xdr:to>
          <xdr:col>19</xdr:col>
          <xdr:colOff>431800</xdr:colOff>
          <xdr:row>63</xdr:row>
          <xdr:rowOff>0</xdr:rowOff>
        </xdr:to>
        <xdr:sp macro="" textlink="">
          <xdr:nvSpPr>
            <xdr:cNvPr id="7333" name="Check Box 165" hidden="1">
              <a:extLst>
                <a:ext uri="{63B3BB69-23CF-44E3-9099-C40C66FF867C}">
                  <a14:compatExt spid="_x0000_s7333"/>
                </a:ext>
                <a:ext uri="{FF2B5EF4-FFF2-40B4-BE49-F238E27FC236}">
                  <a16:creationId xmlns:a16="http://schemas.microsoft.com/office/drawing/2014/main" id="{00000000-0008-0000-0600-0000A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66</xdr:row>
          <xdr:rowOff>0</xdr:rowOff>
        </xdr:from>
        <xdr:to>
          <xdr:col>19</xdr:col>
          <xdr:colOff>431800</xdr:colOff>
          <xdr:row>67</xdr:row>
          <xdr:rowOff>0</xdr:rowOff>
        </xdr:to>
        <xdr:sp macro="" textlink="">
          <xdr:nvSpPr>
            <xdr:cNvPr id="7334" name="Check Box 166" hidden="1">
              <a:extLst>
                <a:ext uri="{63B3BB69-23CF-44E3-9099-C40C66FF867C}">
                  <a14:compatExt spid="_x0000_s7334"/>
                </a:ext>
                <a:ext uri="{FF2B5EF4-FFF2-40B4-BE49-F238E27FC236}">
                  <a16:creationId xmlns:a16="http://schemas.microsoft.com/office/drawing/2014/main" id="{00000000-0008-0000-0600-0000A6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66</xdr:row>
          <xdr:rowOff>254000</xdr:rowOff>
        </xdr:from>
        <xdr:to>
          <xdr:col>19</xdr:col>
          <xdr:colOff>431800</xdr:colOff>
          <xdr:row>69</xdr:row>
          <xdr:rowOff>0</xdr:rowOff>
        </xdr:to>
        <xdr:sp macro="" textlink="">
          <xdr:nvSpPr>
            <xdr:cNvPr id="7335" name="Check Box 167" hidden="1">
              <a:extLst>
                <a:ext uri="{63B3BB69-23CF-44E3-9099-C40C66FF867C}">
                  <a14:compatExt spid="_x0000_s7335"/>
                </a:ext>
                <a:ext uri="{FF2B5EF4-FFF2-40B4-BE49-F238E27FC236}">
                  <a16:creationId xmlns:a16="http://schemas.microsoft.com/office/drawing/2014/main" id="{00000000-0008-0000-0600-0000A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70</xdr:row>
          <xdr:rowOff>0</xdr:rowOff>
        </xdr:from>
        <xdr:to>
          <xdr:col>19</xdr:col>
          <xdr:colOff>431800</xdr:colOff>
          <xdr:row>71</xdr:row>
          <xdr:rowOff>0</xdr:rowOff>
        </xdr:to>
        <xdr:sp macro="" textlink="">
          <xdr:nvSpPr>
            <xdr:cNvPr id="7336" name="Check Box 168" hidden="1">
              <a:extLst>
                <a:ext uri="{63B3BB69-23CF-44E3-9099-C40C66FF867C}">
                  <a14:compatExt spid="_x0000_s7336"/>
                </a:ext>
                <a:ext uri="{FF2B5EF4-FFF2-40B4-BE49-F238E27FC236}">
                  <a16:creationId xmlns:a16="http://schemas.microsoft.com/office/drawing/2014/main" id="{00000000-0008-0000-0600-0000A8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70</xdr:row>
          <xdr:rowOff>254000</xdr:rowOff>
        </xdr:from>
        <xdr:to>
          <xdr:col>19</xdr:col>
          <xdr:colOff>431800</xdr:colOff>
          <xdr:row>76</xdr:row>
          <xdr:rowOff>12700</xdr:rowOff>
        </xdr:to>
        <xdr:sp macro="" textlink="">
          <xdr:nvSpPr>
            <xdr:cNvPr id="7337" name="Check Box 169" hidden="1">
              <a:extLst>
                <a:ext uri="{63B3BB69-23CF-44E3-9099-C40C66FF867C}">
                  <a14:compatExt spid="_x0000_s7337"/>
                </a:ext>
                <a:ext uri="{FF2B5EF4-FFF2-40B4-BE49-F238E27FC236}">
                  <a16:creationId xmlns:a16="http://schemas.microsoft.com/office/drawing/2014/main" id="{00000000-0008-0000-0600-0000A9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76</xdr:row>
          <xdr:rowOff>0</xdr:rowOff>
        </xdr:from>
        <xdr:to>
          <xdr:col>19</xdr:col>
          <xdr:colOff>431800</xdr:colOff>
          <xdr:row>77</xdr:row>
          <xdr:rowOff>0</xdr:rowOff>
        </xdr:to>
        <xdr:sp macro="" textlink="">
          <xdr:nvSpPr>
            <xdr:cNvPr id="7338" name="Check Box 170" hidden="1">
              <a:extLst>
                <a:ext uri="{63B3BB69-23CF-44E3-9099-C40C66FF867C}">
                  <a14:compatExt spid="_x0000_s7338"/>
                </a:ext>
                <a:ext uri="{FF2B5EF4-FFF2-40B4-BE49-F238E27FC236}">
                  <a16:creationId xmlns:a16="http://schemas.microsoft.com/office/drawing/2014/main" id="{00000000-0008-0000-0600-0000AA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78</xdr:row>
          <xdr:rowOff>0</xdr:rowOff>
        </xdr:from>
        <xdr:to>
          <xdr:col>19</xdr:col>
          <xdr:colOff>431800</xdr:colOff>
          <xdr:row>79</xdr:row>
          <xdr:rowOff>0</xdr:rowOff>
        </xdr:to>
        <xdr:sp macro="" textlink="">
          <xdr:nvSpPr>
            <xdr:cNvPr id="7339" name="Check Box 171" hidden="1">
              <a:extLst>
                <a:ext uri="{63B3BB69-23CF-44E3-9099-C40C66FF867C}">
                  <a14:compatExt spid="_x0000_s7339"/>
                </a:ext>
                <a:ext uri="{FF2B5EF4-FFF2-40B4-BE49-F238E27FC236}">
                  <a16:creationId xmlns:a16="http://schemas.microsoft.com/office/drawing/2014/main" id="{00000000-0008-0000-0600-0000AB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78</xdr:row>
          <xdr:rowOff>254000</xdr:rowOff>
        </xdr:from>
        <xdr:to>
          <xdr:col>19</xdr:col>
          <xdr:colOff>431800</xdr:colOff>
          <xdr:row>82</xdr:row>
          <xdr:rowOff>12700</xdr:rowOff>
        </xdr:to>
        <xdr:sp macro="" textlink="">
          <xdr:nvSpPr>
            <xdr:cNvPr id="7340" name="Check Box 172" hidden="1">
              <a:extLst>
                <a:ext uri="{63B3BB69-23CF-44E3-9099-C40C66FF867C}">
                  <a14:compatExt spid="_x0000_s7340"/>
                </a:ext>
                <a:ext uri="{FF2B5EF4-FFF2-40B4-BE49-F238E27FC236}">
                  <a16:creationId xmlns:a16="http://schemas.microsoft.com/office/drawing/2014/main" id="{00000000-0008-0000-0600-0000AC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82</xdr:row>
          <xdr:rowOff>0</xdr:rowOff>
        </xdr:from>
        <xdr:to>
          <xdr:col>19</xdr:col>
          <xdr:colOff>431800</xdr:colOff>
          <xdr:row>84</xdr:row>
          <xdr:rowOff>0</xdr:rowOff>
        </xdr:to>
        <xdr:sp macro="" textlink="">
          <xdr:nvSpPr>
            <xdr:cNvPr id="7341" name="Check Box 173" hidden="1">
              <a:extLst>
                <a:ext uri="{63B3BB69-23CF-44E3-9099-C40C66FF867C}">
                  <a14:compatExt spid="_x0000_s7341"/>
                </a:ext>
                <a:ext uri="{FF2B5EF4-FFF2-40B4-BE49-F238E27FC236}">
                  <a16:creationId xmlns:a16="http://schemas.microsoft.com/office/drawing/2014/main" id="{00000000-0008-0000-0600-0000AD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83</xdr:row>
          <xdr:rowOff>254000</xdr:rowOff>
        </xdr:from>
        <xdr:to>
          <xdr:col>19</xdr:col>
          <xdr:colOff>431800</xdr:colOff>
          <xdr:row>86</xdr:row>
          <xdr:rowOff>0</xdr:rowOff>
        </xdr:to>
        <xdr:sp macro="" textlink="">
          <xdr:nvSpPr>
            <xdr:cNvPr id="7342" name="Check Box 174" hidden="1">
              <a:extLst>
                <a:ext uri="{63B3BB69-23CF-44E3-9099-C40C66FF867C}">
                  <a14:compatExt spid="_x0000_s7342"/>
                </a:ext>
                <a:ext uri="{FF2B5EF4-FFF2-40B4-BE49-F238E27FC236}">
                  <a16:creationId xmlns:a16="http://schemas.microsoft.com/office/drawing/2014/main" id="{00000000-0008-0000-0600-0000AE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86</xdr:row>
          <xdr:rowOff>0</xdr:rowOff>
        </xdr:from>
        <xdr:to>
          <xdr:col>19</xdr:col>
          <xdr:colOff>431800</xdr:colOff>
          <xdr:row>87</xdr:row>
          <xdr:rowOff>0</xdr:rowOff>
        </xdr:to>
        <xdr:sp macro="" textlink="">
          <xdr:nvSpPr>
            <xdr:cNvPr id="7343" name="Check Box 175" hidden="1">
              <a:extLst>
                <a:ext uri="{63B3BB69-23CF-44E3-9099-C40C66FF867C}">
                  <a14:compatExt spid="_x0000_s7343"/>
                </a:ext>
                <a:ext uri="{FF2B5EF4-FFF2-40B4-BE49-F238E27FC236}">
                  <a16:creationId xmlns:a16="http://schemas.microsoft.com/office/drawing/2014/main" id="{00000000-0008-0000-0600-0000AF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87</xdr:row>
          <xdr:rowOff>0</xdr:rowOff>
        </xdr:from>
        <xdr:to>
          <xdr:col>19</xdr:col>
          <xdr:colOff>431800</xdr:colOff>
          <xdr:row>88</xdr:row>
          <xdr:rowOff>0</xdr:rowOff>
        </xdr:to>
        <xdr:sp macro="" textlink="">
          <xdr:nvSpPr>
            <xdr:cNvPr id="7344" name="Check Box 176" hidden="1">
              <a:extLst>
                <a:ext uri="{63B3BB69-23CF-44E3-9099-C40C66FF867C}">
                  <a14:compatExt spid="_x0000_s7344"/>
                </a:ext>
                <a:ext uri="{FF2B5EF4-FFF2-40B4-BE49-F238E27FC236}">
                  <a16:creationId xmlns:a16="http://schemas.microsoft.com/office/drawing/2014/main" id="{00000000-0008-0000-0600-0000B0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88</xdr:row>
          <xdr:rowOff>0</xdr:rowOff>
        </xdr:from>
        <xdr:to>
          <xdr:col>19</xdr:col>
          <xdr:colOff>431800</xdr:colOff>
          <xdr:row>89</xdr:row>
          <xdr:rowOff>0</xdr:rowOff>
        </xdr:to>
        <xdr:sp macro="" textlink="">
          <xdr:nvSpPr>
            <xdr:cNvPr id="7345" name="Check Box 177" hidden="1">
              <a:extLst>
                <a:ext uri="{63B3BB69-23CF-44E3-9099-C40C66FF867C}">
                  <a14:compatExt spid="_x0000_s7345"/>
                </a:ext>
                <a:ext uri="{FF2B5EF4-FFF2-40B4-BE49-F238E27FC236}">
                  <a16:creationId xmlns:a16="http://schemas.microsoft.com/office/drawing/2014/main" id="{00000000-0008-0000-0600-0000B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89</xdr:row>
          <xdr:rowOff>0</xdr:rowOff>
        </xdr:from>
        <xdr:to>
          <xdr:col>19</xdr:col>
          <xdr:colOff>431800</xdr:colOff>
          <xdr:row>91</xdr:row>
          <xdr:rowOff>0</xdr:rowOff>
        </xdr:to>
        <xdr:sp macro="" textlink="">
          <xdr:nvSpPr>
            <xdr:cNvPr id="7346" name="Check Box 178" hidden="1">
              <a:extLst>
                <a:ext uri="{63B3BB69-23CF-44E3-9099-C40C66FF867C}">
                  <a14:compatExt spid="_x0000_s7346"/>
                </a:ext>
                <a:ext uri="{FF2B5EF4-FFF2-40B4-BE49-F238E27FC236}">
                  <a16:creationId xmlns:a16="http://schemas.microsoft.com/office/drawing/2014/main" id="{00000000-0008-0000-0600-0000B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91</xdr:row>
          <xdr:rowOff>0</xdr:rowOff>
        </xdr:from>
        <xdr:to>
          <xdr:col>19</xdr:col>
          <xdr:colOff>431800</xdr:colOff>
          <xdr:row>92</xdr:row>
          <xdr:rowOff>0</xdr:rowOff>
        </xdr:to>
        <xdr:sp macro="" textlink="">
          <xdr:nvSpPr>
            <xdr:cNvPr id="7347" name="Check Box 179" hidden="1">
              <a:extLst>
                <a:ext uri="{63B3BB69-23CF-44E3-9099-C40C66FF867C}">
                  <a14:compatExt spid="_x0000_s7347"/>
                </a:ext>
                <a:ext uri="{FF2B5EF4-FFF2-40B4-BE49-F238E27FC236}">
                  <a16:creationId xmlns:a16="http://schemas.microsoft.com/office/drawing/2014/main" id="{00000000-0008-0000-0600-0000B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absolute">
    <xdr:from>
      <xdr:col>2</xdr:col>
      <xdr:colOff>0</xdr:colOff>
      <xdr:row>0</xdr:row>
      <xdr:rowOff>205636</xdr:rowOff>
    </xdr:from>
    <xdr:to>
      <xdr:col>16</xdr:col>
      <xdr:colOff>633410</xdr:colOff>
      <xdr:row>1</xdr:row>
      <xdr:rowOff>0</xdr:rowOff>
    </xdr:to>
    <xdr:grpSp>
      <xdr:nvGrpSpPr>
        <xdr:cNvPr id="2" name="Navbar E1">
          <a:extLst>
            <a:ext uri="{FF2B5EF4-FFF2-40B4-BE49-F238E27FC236}">
              <a16:creationId xmlns:a16="http://schemas.microsoft.com/office/drawing/2014/main" id="{00000000-0008-0000-0600-000002000000}"/>
            </a:ext>
          </a:extLst>
        </xdr:cNvPr>
        <xdr:cNvGrpSpPr/>
      </xdr:nvGrpSpPr>
      <xdr:grpSpPr>
        <a:xfrm>
          <a:off x="406400" y="205636"/>
          <a:ext cx="10945810" cy="264264"/>
          <a:chOff x="362309" y="205371"/>
          <a:chExt cx="9662496" cy="271442"/>
        </a:xfrm>
      </xdr:grpSpPr>
      <xdr:sp macro="" textlink="">
        <xdr:nvSpPr>
          <xdr:cNvPr id="3" name="0 Home-Button">
            <a:hlinkClick xmlns:r="http://schemas.openxmlformats.org/officeDocument/2006/relationships" r:id="rId6" tooltip="Klicken, um zur Startseite zu gelangen."/>
            <a:extLst>
              <a:ext uri="{FF2B5EF4-FFF2-40B4-BE49-F238E27FC236}">
                <a16:creationId xmlns:a16="http://schemas.microsoft.com/office/drawing/2014/main" id="{00000000-0008-0000-0600-000003000000}"/>
              </a:ext>
            </a:extLst>
          </xdr:cNvPr>
          <xdr:cNvSpPr/>
        </xdr:nvSpPr>
        <xdr:spPr>
          <a:xfrm>
            <a:off x="362309" y="205371"/>
            <a:ext cx="1950619" cy="271442"/>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4" name="Home-Button">
            <a:hlinkClick xmlns:r="http://schemas.openxmlformats.org/officeDocument/2006/relationships" r:id="rId6" tooltip="Klicken, um zur Startseite zu gelan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7"/>
          <a:srcRect/>
          <a:stretch/>
        </xdr:blipFill>
        <xdr:spPr>
          <a:xfrm>
            <a:off x="454256" y="262583"/>
            <a:ext cx="215813" cy="174116"/>
          </a:xfrm>
          <a:prstGeom prst="rect">
            <a:avLst/>
          </a:prstGeom>
        </xdr:spPr>
      </xdr:pic>
      <xdr:sp macro="" textlink="">
        <xdr:nvSpPr>
          <xdr:cNvPr id="5" name="00 Bestan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600-000005000000}"/>
              </a:ext>
            </a:extLst>
          </xdr:cNvPr>
          <xdr:cNvSpPr/>
        </xdr:nvSpPr>
        <xdr:spPr>
          <a:xfrm>
            <a:off x="744519" y="205371"/>
            <a:ext cx="1949078" cy="271442"/>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22" name="123 Bestand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600-000016000000}"/>
              </a:ext>
            </a:extLst>
          </xdr:cNvPr>
          <xdr:cNvSpPr txBox="1"/>
        </xdr:nvSpPr>
        <xdr:spPr>
          <a:xfrm>
            <a:off x="789755" y="258931"/>
            <a:ext cx="276809" cy="194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23" name="A Bestandseingabe">
            <a:hlinkClick xmlns:r="http://schemas.openxmlformats.org/officeDocument/2006/relationships" r:id="rId9" tooltip="Klicken, um zu Teil A zu gelangen."/>
            <a:extLst>
              <a:ext uri="{FF2B5EF4-FFF2-40B4-BE49-F238E27FC236}">
                <a16:creationId xmlns:a16="http://schemas.microsoft.com/office/drawing/2014/main" id="{00000000-0008-0000-0600-000017000000}"/>
              </a:ext>
            </a:extLst>
          </xdr:cNvPr>
          <xdr:cNvSpPr/>
        </xdr:nvSpPr>
        <xdr:spPr>
          <a:xfrm>
            <a:off x="1097558" y="205371"/>
            <a:ext cx="1842229" cy="27112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24" name="B Parametereingabe">
            <a:hlinkClick xmlns:r="http://schemas.openxmlformats.org/officeDocument/2006/relationships" r:id="rId10" tooltip="Klicken, um zu Teil B zu gelangen."/>
            <a:extLst>
              <a:ext uri="{FF2B5EF4-FFF2-40B4-BE49-F238E27FC236}">
                <a16:creationId xmlns:a16="http://schemas.microsoft.com/office/drawing/2014/main" id="{00000000-0008-0000-0600-000018000000}"/>
              </a:ext>
            </a:extLst>
          </xdr:cNvPr>
          <xdr:cNvSpPr/>
        </xdr:nvSpPr>
        <xdr:spPr>
          <a:xfrm>
            <a:off x="2600094" y="205371"/>
            <a:ext cx="1983651" cy="27112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25" name="C Ergebnisjustierung">
            <a:hlinkClick xmlns:r="http://schemas.openxmlformats.org/officeDocument/2006/relationships" r:id="rId11" tooltip="Klicken, um zu Teil C zu gelangen."/>
            <a:extLst>
              <a:ext uri="{FF2B5EF4-FFF2-40B4-BE49-F238E27FC236}">
                <a16:creationId xmlns:a16="http://schemas.microsoft.com/office/drawing/2014/main" id="{00000000-0008-0000-0600-000019000000}"/>
              </a:ext>
            </a:extLst>
          </xdr:cNvPr>
          <xdr:cNvSpPr/>
        </xdr:nvSpPr>
        <xdr:spPr>
          <a:xfrm>
            <a:off x="4191825" y="205371"/>
            <a:ext cx="1915855" cy="27112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26" name="D Kostenanalyse">
            <a:hlinkClick xmlns:r="http://schemas.openxmlformats.org/officeDocument/2006/relationships" r:id="rId12" tooltip="Klicken, um zu Teil D zu gelangen."/>
            <a:extLst>
              <a:ext uri="{FF2B5EF4-FFF2-40B4-BE49-F238E27FC236}">
                <a16:creationId xmlns:a16="http://schemas.microsoft.com/office/drawing/2014/main" id="{00000000-0008-0000-0600-00001A000000}"/>
              </a:ext>
            </a:extLst>
          </xdr:cNvPr>
          <xdr:cNvSpPr/>
        </xdr:nvSpPr>
        <xdr:spPr>
          <a:xfrm>
            <a:off x="5791820" y="205371"/>
            <a:ext cx="1601723" cy="27112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27" name="E1 Checklisten">
            <a:extLst>
              <a:ext uri="{FF2B5EF4-FFF2-40B4-BE49-F238E27FC236}">
                <a16:creationId xmlns:a16="http://schemas.microsoft.com/office/drawing/2014/main" id="{00000000-0008-0000-0600-00001B000000}"/>
              </a:ext>
            </a:extLst>
          </xdr:cNvPr>
          <xdr:cNvSpPr/>
        </xdr:nvSpPr>
        <xdr:spPr>
          <a:xfrm>
            <a:off x="7115174" y="205371"/>
            <a:ext cx="1524001"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E1 </a:t>
            </a:r>
            <a:r>
              <a:rPr lang="de-DE" sz="1100" b="0">
                <a:solidFill>
                  <a:schemeClr val="bg1"/>
                </a:solidFill>
                <a:effectLst/>
                <a:latin typeface="+mn-lt"/>
                <a:ea typeface="+mn-ea"/>
                <a:cs typeface="+mn-cs"/>
              </a:rPr>
              <a:t>▪ </a:t>
            </a:r>
            <a:r>
              <a:rPr lang="de-DE" sz="1300" b="0">
                <a:solidFill>
                  <a:schemeClr val="bg1"/>
                </a:solidFill>
                <a:effectLst/>
                <a:latin typeface="+mn-lt"/>
                <a:ea typeface="+mn-ea"/>
                <a:cs typeface="+mn-cs"/>
              </a:rPr>
              <a:t>Checklisten </a:t>
            </a:r>
            <a:endParaRPr lang="de-DE" sz="1300" b="0">
              <a:solidFill>
                <a:schemeClr val="bg1"/>
              </a:solidFill>
              <a:effectLst/>
            </a:endParaRPr>
          </a:p>
        </xdr:txBody>
      </xdr:sp>
      <xdr:sp macro="" textlink="">
        <xdr:nvSpPr>
          <xdr:cNvPr id="28"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600-00001C000000}"/>
              </a:ext>
            </a:extLst>
          </xdr:cNvPr>
          <xdr:cNvSpPr/>
        </xdr:nvSpPr>
        <xdr:spPr>
          <a:xfrm>
            <a:off x="8343901" y="205371"/>
            <a:ext cx="781050" cy="270563"/>
          </a:xfrm>
          <a:prstGeom prst="round2SameRect">
            <a:avLst>
              <a:gd name="adj1" fmla="val 50000"/>
              <a:gd name="adj2" fmla="val 0"/>
            </a:avLst>
          </a:prstGeom>
          <a:solidFill>
            <a:schemeClr val="tx2">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1" u="none">
                <a:solidFill>
                  <a:schemeClr val="tx2"/>
                </a:solidFill>
                <a:effectLst/>
                <a:latin typeface="+mn-lt"/>
                <a:ea typeface="+mn-ea"/>
                <a:cs typeface="+mn-cs"/>
              </a:rPr>
              <a:t>+ E2 </a:t>
            </a:r>
            <a:endParaRPr lang="de-DE" sz="1300" b="1" u="none">
              <a:solidFill>
                <a:schemeClr val="tx2"/>
              </a:solidFill>
              <a:effectLst/>
            </a:endParaRPr>
          </a:p>
        </xdr:txBody>
      </xdr:sp>
      <xdr:sp macro="" textlink="">
        <xdr:nvSpPr>
          <xdr:cNvPr id="29"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600-00001D000000}"/>
              </a:ext>
            </a:extLst>
          </xdr:cNvPr>
          <xdr:cNvSpPr/>
        </xdr:nvSpPr>
        <xdr:spPr>
          <a:xfrm>
            <a:off x="8847342" y="205371"/>
            <a:ext cx="1177463" cy="27112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91</xdr:row>
      <xdr:rowOff>136735</xdr:rowOff>
    </xdr:from>
    <xdr:to>
      <xdr:col>24</xdr:col>
      <xdr:colOff>0</xdr:colOff>
      <xdr:row>93</xdr:row>
      <xdr:rowOff>0</xdr:rowOff>
    </xdr:to>
    <xdr:grpSp>
      <xdr:nvGrpSpPr>
        <xdr:cNvPr id="9" name="Footer">
          <a:extLst>
            <a:ext uri="{FF2B5EF4-FFF2-40B4-BE49-F238E27FC236}">
              <a16:creationId xmlns:a16="http://schemas.microsoft.com/office/drawing/2014/main" id="{00000000-0008-0000-0700-000009000000}"/>
            </a:ext>
          </a:extLst>
        </xdr:cNvPr>
        <xdr:cNvGrpSpPr/>
      </xdr:nvGrpSpPr>
      <xdr:grpSpPr>
        <a:xfrm>
          <a:off x="0" y="31988335"/>
          <a:ext cx="14681200" cy="764965"/>
          <a:chOff x="0" y="58124935"/>
          <a:chExt cx="12915900" cy="768140"/>
        </a:xfrm>
      </xdr:grpSpPr>
      <xdr:sp macro="" textlink="">
        <xdr:nvSpPr>
          <xdr:cNvPr id="10" name="Spacer Footer">
            <a:extLst>
              <a:ext uri="{FF2B5EF4-FFF2-40B4-BE49-F238E27FC236}">
                <a16:creationId xmlns:a16="http://schemas.microsoft.com/office/drawing/2014/main" id="{00000000-0008-0000-0700-00000A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 name="LOGO BStext">
            <a:hlinkClick xmlns:r="http://schemas.openxmlformats.org/officeDocument/2006/relationships" r:id="rId1"/>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2" name="LOGO IFP">
            <a:hlinkClick xmlns:r="http://schemas.openxmlformats.org/officeDocument/2006/relationships" r:id="rId3"/>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editAs="oneCell">
    <xdr:from>
      <xdr:col>23</xdr:col>
      <xdr:colOff>87805</xdr:colOff>
      <xdr:row>4</xdr:row>
      <xdr:rowOff>0</xdr:rowOff>
    </xdr:from>
    <xdr:to>
      <xdr:col>24</xdr:col>
      <xdr:colOff>7555</xdr:colOff>
      <xdr:row>14</xdr:row>
      <xdr:rowOff>55950</xdr:rowOff>
    </xdr:to>
    <xdr:pic>
      <xdr:nvPicPr>
        <xdr:cNvPr id="13" name="LOGO IFP SB">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5"/>
        <a:stretch>
          <a:fillRect/>
        </a:stretch>
      </xdr:blipFill>
      <xdr:spPr>
        <a:xfrm rot="5400000">
          <a:off x="11735455" y="1534950"/>
          <a:ext cx="1980000" cy="396000"/>
        </a:xfrm>
        <a:prstGeom prst="rect">
          <a:avLst/>
        </a:prstGeom>
      </xdr:spPr>
    </xdr:pic>
    <xdr:clientData/>
  </xdr:twoCellAnchor>
  <xdr:twoCellAnchor editAs="absolute">
    <xdr:from>
      <xdr:col>23</xdr:col>
      <xdr:colOff>0</xdr:colOff>
      <xdr:row>14</xdr:row>
      <xdr:rowOff>55950</xdr:rowOff>
    </xdr:from>
    <xdr:to>
      <xdr:col>23</xdr:col>
      <xdr:colOff>474280</xdr:colOff>
      <xdr:row>17</xdr:row>
      <xdr:rowOff>68218</xdr:rowOff>
    </xdr:to>
    <xdr:sp macro="" textlink="">
      <xdr:nvSpPr>
        <xdr:cNvPr id="14" name="Spacer">
          <a:extLst>
            <a:ext uri="{FF2B5EF4-FFF2-40B4-BE49-F238E27FC236}">
              <a16:creationId xmlns:a16="http://schemas.microsoft.com/office/drawing/2014/main" id="{00000000-0008-0000-0700-00000E000000}"/>
            </a:ext>
          </a:extLst>
        </xdr:cNvPr>
        <xdr:cNvSpPr/>
      </xdr:nvSpPr>
      <xdr:spPr>
        <a:xfrm>
          <a:off x="12439650" y="2722950"/>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8" name="Spacer">
          <a:extLst>
            <a:ext uri="{FF2B5EF4-FFF2-40B4-BE49-F238E27FC236}">
              <a16:creationId xmlns:a16="http://schemas.microsoft.com/office/drawing/2014/main" id="{00000000-0008-0000-0700-000008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0</xdr:colOff>
      <xdr:row>88</xdr:row>
      <xdr:rowOff>95251</xdr:rowOff>
    </xdr:from>
    <xdr:to>
      <xdr:col>16</xdr:col>
      <xdr:colOff>646339</xdr:colOff>
      <xdr:row>88</xdr:row>
      <xdr:rowOff>95251</xdr:rowOff>
    </xdr:to>
    <xdr:cxnSp macro="">
      <xdr:nvCxnSpPr>
        <xdr:cNvPr id="23" name="Straight Connector 22">
          <a:extLst>
            <a:ext uri="{FF2B5EF4-FFF2-40B4-BE49-F238E27FC236}">
              <a16:creationId xmlns:a16="http://schemas.microsoft.com/office/drawing/2014/main" id="{00000000-0008-0000-0700-000017000000}"/>
            </a:ext>
          </a:extLst>
        </xdr:cNvPr>
        <xdr:cNvCxnSpPr/>
      </xdr:nvCxnSpPr>
      <xdr:spPr>
        <a:xfrm flipH="1">
          <a:off x="363141" y="28414267"/>
          <a:ext cx="9730807" cy="0"/>
        </a:xfrm>
        <a:prstGeom prst="line">
          <a:avLst/>
        </a:prstGeom>
        <a:ln w="9525">
          <a:solidFill>
            <a:schemeClr val="accent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303934</xdr:colOff>
      <xdr:row>86</xdr:row>
      <xdr:rowOff>140276</xdr:rowOff>
    </xdr:from>
    <xdr:to>
      <xdr:col>19</xdr:col>
      <xdr:colOff>417796</xdr:colOff>
      <xdr:row>88</xdr:row>
      <xdr:rowOff>174087</xdr:rowOff>
    </xdr:to>
    <xdr:pic>
      <xdr:nvPicPr>
        <xdr:cNvPr id="21" name="PTV Logo">
          <a:hlinkClick xmlns:r="http://schemas.openxmlformats.org/officeDocument/2006/relationships" r:id="rId6"/>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7"/>
        <a:stretch>
          <a:fillRect/>
        </a:stretch>
      </xdr:blipFill>
      <xdr:spPr>
        <a:xfrm>
          <a:off x="10404764" y="28126458"/>
          <a:ext cx="1412725" cy="501402"/>
        </a:xfrm>
        <a:prstGeom prst="rect">
          <a:avLst/>
        </a:prstGeom>
      </xdr:spPr>
    </xdr:pic>
    <xdr:clientData/>
  </xdr:twoCellAnchor>
  <mc:AlternateContent xmlns:mc="http://schemas.openxmlformats.org/markup-compatibility/2006">
    <mc:Choice xmlns:a14="http://schemas.microsoft.com/office/drawing/2010/main" Requires="a14">
      <xdr:twoCellAnchor>
        <xdr:from>
          <xdr:col>17</xdr:col>
          <xdr:colOff>215900</xdr:colOff>
          <xdr:row>22</xdr:row>
          <xdr:rowOff>0</xdr:rowOff>
        </xdr:from>
        <xdr:to>
          <xdr:col>17</xdr:col>
          <xdr:colOff>431800</xdr:colOff>
          <xdr:row>23</xdr:row>
          <xdr:rowOff>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7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22</xdr:row>
          <xdr:rowOff>0</xdr:rowOff>
        </xdr:from>
        <xdr:to>
          <xdr:col>18</xdr:col>
          <xdr:colOff>431800</xdr:colOff>
          <xdr:row>23</xdr:row>
          <xdr:rowOff>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7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22</xdr:row>
          <xdr:rowOff>0</xdr:rowOff>
        </xdr:from>
        <xdr:to>
          <xdr:col>19</xdr:col>
          <xdr:colOff>431800</xdr:colOff>
          <xdr:row>23</xdr:row>
          <xdr:rowOff>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7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23</xdr:row>
          <xdr:rowOff>0</xdr:rowOff>
        </xdr:from>
        <xdr:to>
          <xdr:col>17</xdr:col>
          <xdr:colOff>431800</xdr:colOff>
          <xdr:row>24</xdr:row>
          <xdr:rowOff>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700-00000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23</xdr:row>
          <xdr:rowOff>0</xdr:rowOff>
        </xdr:from>
        <xdr:to>
          <xdr:col>18</xdr:col>
          <xdr:colOff>431800</xdr:colOff>
          <xdr:row>24</xdr:row>
          <xdr:rowOff>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700-00000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23</xdr:row>
          <xdr:rowOff>0</xdr:rowOff>
        </xdr:from>
        <xdr:to>
          <xdr:col>19</xdr:col>
          <xdr:colOff>431800</xdr:colOff>
          <xdr:row>24</xdr:row>
          <xdr:rowOff>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700-00000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24</xdr:row>
          <xdr:rowOff>0</xdr:rowOff>
        </xdr:from>
        <xdr:to>
          <xdr:col>17</xdr:col>
          <xdr:colOff>431800</xdr:colOff>
          <xdr:row>25</xdr:row>
          <xdr:rowOff>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700-00000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24</xdr:row>
          <xdr:rowOff>0</xdr:rowOff>
        </xdr:from>
        <xdr:to>
          <xdr:col>18</xdr:col>
          <xdr:colOff>431800</xdr:colOff>
          <xdr:row>25</xdr:row>
          <xdr:rowOff>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7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24</xdr:row>
          <xdr:rowOff>0</xdr:rowOff>
        </xdr:from>
        <xdr:to>
          <xdr:col>19</xdr:col>
          <xdr:colOff>431800</xdr:colOff>
          <xdr:row>25</xdr:row>
          <xdr:rowOff>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700-00000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25</xdr:row>
          <xdr:rowOff>0</xdr:rowOff>
        </xdr:from>
        <xdr:to>
          <xdr:col>17</xdr:col>
          <xdr:colOff>431800</xdr:colOff>
          <xdr:row>26</xdr:row>
          <xdr:rowOff>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700-00000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25</xdr:row>
          <xdr:rowOff>0</xdr:rowOff>
        </xdr:from>
        <xdr:to>
          <xdr:col>18</xdr:col>
          <xdr:colOff>431800</xdr:colOff>
          <xdr:row>26</xdr:row>
          <xdr:rowOff>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7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25</xdr:row>
          <xdr:rowOff>0</xdr:rowOff>
        </xdr:from>
        <xdr:to>
          <xdr:col>19</xdr:col>
          <xdr:colOff>431800</xdr:colOff>
          <xdr:row>26</xdr:row>
          <xdr:rowOff>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7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26</xdr:row>
          <xdr:rowOff>0</xdr:rowOff>
        </xdr:from>
        <xdr:to>
          <xdr:col>17</xdr:col>
          <xdr:colOff>431800</xdr:colOff>
          <xdr:row>27</xdr:row>
          <xdr:rowOff>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700-00000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26</xdr:row>
          <xdr:rowOff>0</xdr:rowOff>
        </xdr:from>
        <xdr:to>
          <xdr:col>18</xdr:col>
          <xdr:colOff>431800</xdr:colOff>
          <xdr:row>27</xdr:row>
          <xdr:rowOff>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700-00000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26</xdr:row>
          <xdr:rowOff>0</xdr:rowOff>
        </xdr:from>
        <xdr:to>
          <xdr:col>19</xdr:col>
          <xdr:colOff>431800</xdr:colOff>
          <xdr:row>27</xdr:row>
          <xdr:rowOff>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700-00000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27</xdr:row>
          <xdr:rowOff>0</xdr:rowOff>
        </xdr:from>
        <xdr:to>
          <xdr:col>17</xdr:col>
          <xdr:colOff>431800</xdr:colOff>
          <xdr:row>28</xdr:row>
          <xdr:rowOff>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700-00001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27</xdr:row>
          <xdr:rowOff>0</xdr:rowOff>
        </xdr:from>
        <xdr:to>
          <xdr:col>18</xdr:col>
          <xdr:colOff>431800</xdr:colOff>
          <xdr:row>28</xdr:row>
          <xdr:rowOff>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7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27</xdr:row>
          <xdr:rowOff>0</xdr:rowOff>
        </xdr:from>
        <xdr:to>
          <xdr:col>19</xdr:col>
          <xdr:colOff>431800</xdr:colOff>
          <xdr:row>28</xdr:row>
          <xdr:rowOff>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7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28</xdr:row>
          <xdr:rowOff>0</xdr:rowOff>
        </xdr:from>
        <xdr:to>
          <xdr:col>17</xdr:col>
          <xdr:colOff>431800</xdr:colOff>
          <xdr:row>29</xdr:row>
          <xdr:rowOff>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7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28</xdr:row>
          <xdr:rowOff>0</xdr:rowOff>
        </xdr:from>
        <xdr:to>
          <xdr:col>18</xdr:col>
          <xdr:colOff>431800</xdr:colOff>
          <xdr:row>29</xdr:row>
          <xdr:rowOff>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700-00001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28</xdr:row>
          <xdr:rowOff>0</xdr:rowOff>
        </xdr:from>
        <xdr:to>
          <xdr:col>19</xdr:col>
          <xdr:colOff>431800</xdr:colOff>
          <xdr:row>29</xdr:row>
          <xdr:rowOff>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700-00001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31</xdr:row>
          <xdr:rowOff>0</xdr:rowOff>
        </xdr:from>
        <xdr:to>
          <xdr:col>17</xdr:col>
          <xdr:colOff>431800</xdr:colOff>
          <xdr:row>32</xdr:row>
          <xdr:rowOff>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700-00001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31</xdr:row>
          <xdr:rowOff>0</xdr:rowOff>
        </xdr:from>
        <xdr:to>
          <xdr:col>18</xdr:col>
          <xdr:colOff>431800</xdr:colOff>
          <xdr:row>32</xdr:row>
          <xdr:rowOff>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700-00001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31</xdr:row>
          <xdr:rowOff>0</xdr:rowOff>
        </xdr:from>
        <xdr:to>
          <xdr:col>19</xdr:col>
          <xdr:colOff>431800</xdr:colOff>
          <xdr:row>32</xdr:row>
          <xdr:rowOff>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700-00001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33</xdr:row>
          <xdr:rowOff>0</xdr:rowOff>
        </xdr:from>
        <xdr:to>
          <xdr:col>17</xdr:col>
          <xdr:colOff>431800</xdr:colOff>
          <xdr:row>34</xdr:row>
          <xdr:rowOff>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700-00001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33</xdr:row>
          <xdr:rowOff>0</xdr:rowOff>
        </xdr:from>
        <xdr:to>
          <xdr:col>18</xdr:col>
          <xdr:colOff>431800</xdr:colOff>
          <xdr:row>34</xdr:row>
          <xdr:rowOff>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700-00001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33</xdr:row>
          <xdr:rowOff>0</xdr:rowOff>
        </xdr:from>
        <xdr:to>
          <xdr:col>19</xdr:col>
          <xdr:colOff>431800</xdr:colOff>
          <xdr:row>34</xdr:row>
          <xdr:rowOff>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700-00001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34</xdr:row>
          <xdr:rowOff>0</xdr:rowOff>
        </xdr:from>
        <xdr:to>
          <xdr:col>17</xdr:col>
          <xdr:colOff>431800</xdr:colOff>
          <xdr:row>35</xdr:row>
          <xdr:rowOff>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700-00001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34</xdr:row>
          <xdr:rowOff>0</xdr:rowOff>
        </xdr:from>
        <xdr:to>
          <xdr:col>18</xdr:col>
          <xdr:colOff>431800</xdr:colOff>
          <xdr:row>35</xdr:row>
          <xdr:rowOff>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700-00001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34</xdr:row>
          <xdr:rowOff>0</xdr:rowOff>
        </xdr:from>
        <xdr:to>
          <xdr:col>19</xdr:col>
          <xdr:colOff>431800</xdr:colOff>
          <xdr:row>35</xdr:row>
          <xdr:rowOff>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700-00001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35</xdr:row>
          <xdr:rowOff>0</xdr:rowOff>
        </xdr:from>
        <xdr:to>
          <xdr:col>17</xdr:col>
          <xdr:colOff>431800</xdr:colOff>
          <xdr:row>36</xdr:row>
          <xdr:rowOff>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700-00001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35</xdr:row>
          <xdr:rowOff>0</xdr:rowOff>
        </xdr:from>
        <xdr:to>
          <xdr:col>18</xdr:col>
          <xdr:colOff>431800</xdr:colOff>
          <xdr:row>36</xdr:row>
          <xdr:rowOff>0</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700-00002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35</xdr:row>
          <xdr:rowOff>0</xdr:rowOff>
        </xdr:from>
        <xdr:to>
          <xdr:col>19</xdr:col>
          <xdr:colOff>431800</xdr:colOff>
          <xdr:row>36</xdr:row>
          <xdr:rowOff>0</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700-00002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38</xdr:row>
          <xdr:rowOff>0</xdr:rowOff>
        </xdr:from>
        <xdr:to>
          <xdr:col>17</xdr:col>
          <xdr:colOff>431800</xdr:colOff>
          <xdr:row>39</xdr:row>
          <xdr:rowOff>0</xdr:rowOff>
        </xdr:to>
        <xdr:sp macro="" textlink="">
          <xdr:nvSpPr>
            <xdr:cNvPr id="8229" name="Check Box 37" hidden="1">
              <a:extLst>
                <a:ext uri="{63B3BB69-23CF-44E3-9099-C40C66FF867C}">
                  <a14:compatExt spid="_x0000_s8229"/>
                </a:ext>
                <a:ext uri="{FF2B5EF4-FFF2-40B4-BE49-F238E27FC236}">
                  <a16:creationId xmlns:a16="http://schemas.microsoft.com/office/drawing/2014/main" id="{00000000-0008-0000-0700-00002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38</xdr:row>
          <xdr:rowOff>0</xdr:rowOff>
        </xdr:from>
        <xdr:to>
          <xdr:col>18</xdr:col>
          <xdr:colOff>431800</xdr:colOff>
          <xdr:row>39</xdr:row>
          <xdr:rowOff>0</xdr:rowOff>
        </xdr:to>
        <xdr:sp macro="" textlink="">
          <xdr:nvSpPr>
            <xdr:cNvPr id="8230" name="Check Box 38" hidden="1">
              <a:extLst>
                <a:ext uri="{63B3BB69-23CF-44E3-9099-C40C66FF867C}">
                  <a14:compatExt spid="_x0000_s8230"/>
                </a:ext>
                <a:ext uri="{FF2B5EF4-FFF2-40B4-BE49-F238E27FC236}">
                  <a16:creationId xmlns:a16="http://schemas.microsoft.com/office/drawing/2014/main" id="{00000000-0008-0000-0700-00002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38</xdr:row>
          <xdr:rowOff>0</xdr:rowOff>
        </xdr:from>
        <xdr:to>
          <xdr:col>19</xdr:col>
          <xdr:colOff>431800</xdr:colOff>
          <xdr:row>39</xdr:row>
          <xdr:rowOff>0</xdr:rowOff>
        </xdr:to>
        <xdr:sp macro="" textlink="">
          <xdr:nvSpPr>
            <xdr:cNvPr id="8231" name="Check Box 39" hidden="1">
              <a:extLst>
                <a:ext uri="{63B3BB69-23CF-44E3-9099-C40C66FF867C}">
                  <a14:compatExt spid="_x0000_s8231"/>
                </a:ext>
                <a:ext uri="{FF2B5EF4-FFF2-40B4-BE49-F238E27FC236}">
                  <a16:creationId xmlns:a16="http://schemas.microsoft.com/office/drawing/2014/main" id="{00000000-0008-0000-0700-00002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39</xdr:row>
          <xdr:rowOff>0</xdr:rowOff>
        </xdr:from>
        <xdr:to>
          <xdr:col>17</xdr:col>
          <xdr:colOff>431800</xdr:colOff>
          <xdr:row>40</xdr:row>
          <xdr:rowOff>0</xdr:rowOff>
        </xdr:to>
        <xdr:sp macro="" textlink="">
          <xdr:nvSpPr>
            <xdr:cNvPr id="8232" name="Check Box 40" hidden="1">
              <a:extLst>
                <a:ext uri="{63B3BB69-23CF-44E3-9099-C40C66FF867C}">
                  <a14:compatExt spid="_x0000_s8232"/>
                </a:ext>
                <a:ext uri="{FF2B5EF4-FFF2-40B4-BE49-F238E27FC236}">
                  <a16:creationId xmlns:a16="http://schemas.microsoft.com/office/drawing/2014/main" id="{00000000-0008-0000-0700-00002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39</xdr:row>
          <xdr:rowOff>0</xdr:rowOff>
        </xdr:from>
        <xdr:to>
          <xdr:col>18</xdr:col>
          <xdr:colOff>431800</xdr:colOff>
          <xdr:row>40</xdr:row>
          <xdr:rowOff>0</xdr:rowOff>
        </xdr:to>
        <xdr:sp macro="" textlink="">
          <xdr:nvSpPr>
            <xdr:cNvPr id="8233" name="Check Box 41" hidden="1">
              <a:extLst>
                <a:ext uri="{63B3BB69-23CF-44E3-9099-C40C66FF867C}">
                  <a14:compatExt spid="_x0000_s8233"/>
                </a:ext>
                <a:ext uri="{FF2B5EF4-FFF2-40B4-BE49-F238E27FC236}">
                  <a16:creationId xmlns:a16="http://schemas.microsoft.com/office/drawing/2014/main" id="{00000000-0008-0000-0700-00002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39</xdr:row>
          <xdr:rowOff>0</xdr:rowOff>
        </xdr:from>
        <xdr:to>
          <xdr:col>19</xdr:col>
          <xdr:colOff>431800</xdr:colOff>
          <xdr:row>40</xdr:row>
          <xdr:rowOff>0</xdr:rowOff>
        </xdr:to>
        <xdr:sp macro="" textlink="">
          <xdr:nvSpPr>
            <xdr:cNvPr id="8234" name="Check Box 42" hidden="1">
              <a:extLst>
                <a:ext uri="{63B3BB69-23CF-44E3-9099-C40C66FF867C}">
                  <a14:compatExt spid="_x0000_s8234"/>
                </a:ext>
                <a:ext uri="{FF2B5EF4-FFF2-40B4-BE49-F238E27FC236}">
                  <a16:creationId xmlns:a16="http://schemas.microsoft.com/office/drawing/2014/main" id="{00000000-0008-0000-0700-00002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40</xdr:row>
          <xdr:rowOff>0</xdr:rowOff>
        </xdr:from>
        <xdr:to>
          <xdr:col>17</xdr:col>
          <xdr:colOff>431800</xdr:colOff>
          <xdr:row>41</xdr:row>
          <xdr:rowOff>0</xdr:rowOff>
        </xdr:to>
        <xdr:sp macro="" textlink="">
          <xdr:nvSpPr>
            <xdr:cNvPr id="8235" name="Check Box 43" hidden="1">
              <a:extLst>
                <a:ext uri="{63B3BB69-23CF-44E3-9099-C40C66FF867C}">
                  <a14:compatExt spid="_x0000_s8235"/>
                </a:ext>
                <a:ext uri="{FF2B5EF4-FFF2-40B4-BE49-F238E27FC236}">
                  <a16:creationId xmlns:a16="http://schemas.microsoft.com/office/drawing/2014/main" id="{00000000-0008-0000-0700-00002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40</xdr:row>
          <xdr:rowOff>0</xdr:rowOff>
        </xdr:from>
        <xdr:to>
          <xdr:col>18</xdr:col>
          <xdr:colOff>431800</xdr:colOff>
          <xdr:row>41</xdr:row>
          <xdr:rowOff>0</xdr:rowOff>
        </xdr:to>
        <xdr:sp macro="" textlink="">
          <xdr:nvSpPr>
            <xdr:cNvPr id="8236" name="Check Box 44" hidden="1">
              <a:extLst>
                <a:ext uri="{63B3BB69-23CF-44E3-9099-C40C66FF867C}">
                  <a14:compatExt spid="_x0000_s8236"/>
                </a:ext>
                <a:ext uri="{FF2B5EF4-FFF2-40B4-BE49-F238E27FC236}">
                  <a16:creationId xmlns:a16="http://schemas.microsoft.com/office/drawing/2014/main" id="{00000000-0008-0000-0700-00002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40</xdr:row>
          <xdr:rowOff>0</xdr:rowOff>
        </xdr:from>
        <xdr:to>
          <xdr:col>19</xdr:col>
          <xdr:colOff>431800</xdr:colOff>
          <xdr:row>41</xdr:row>
          <xdr:rowOff>0</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700-00002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43</xdr:row>
          <xdr:rowOff>0</xdr:rowOff>
        </xdr:from>
        <xdr:to>
          <xdr:col>17</xdr:col>
          <xdr:colOff>431800</xdr:colOff>
          <xdr:row>44</xdr:row>
          <xdr:rowOff>0</xdr:rowOff>
        </xdr:to>
        <xdr:sp macro="" textlink="">
          <xdr:nvSpPr>
            <xdr:cNvPr id="8241" name="Check Box 49" hidden="1">
              <a:extLst>
                <a:ext uri="{63B3BB69-23CF-44E3-9099-C40C66FF867C}">
                  <a14:compatExt spid="_x0000_s8241"/>
                </a:ext>
                <a:ext uri="{FF2B5EF4-FFF2-40B4-BE49-F238E27FC236}">
                  <a16:creationId xmlns:a16="http://schemas.microsoft.com/office/drawing/2014/main" id="{00000000-0008-0000-0700-00003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43</xdr:row>
          <xdr:rowOff>0</xdr:rowOff>
        </xdr:from>
        <xdr:to>
          <xdr:col>18</xdr:col>
          <xdr:colOff>431800</xdr:colOff>
          <xdr:row>44</xdr:row>
          <xdr:rowOff>0</xdr:rowOff>
        </xdr:to>
        <xdr:sp macro="" textlink="">
          <xdr:nvSpPr>
            <xdr:cNvPr id="8242" name="Check Box 50" hidden="1">
              <a:extLst>
                <a:ext uri="{63B3BB69-23CF-44E3-9099-C40C66FF867C}">
                  <a14:compatExt spid="_x0000_s8242"/>
                </a:ext>
                <a:ext uri="{FF2B5EF4-FFF2-40B4-BE49-F238E27FC236}">
                  <a16:creationId xmlns:a16="http://schemas.microsoft.com/office/drawing/2014/main" id="{00000000-0008-0000-0700-00003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43</xdr:row>
          <xdr:rowOff>0</xdr:rowOff>
        </xdr:from>
        <xdr:to>
          <xdr:col>19</xdr:col>
          <xdr:colOff>431800</xdr:colOff>
          <xdr:row>44</xdr:row>
          <xdr:rowOff>0</xdr:rowOff>
        </xdr:to>
        <xdr:sp macro="" textlink="">
          <xdr:nvSpPr>
            <xdr:cNvPr id="8243" name="Check Box 51" hidden="1">
              <a:extLst>
                <a:ext uri="{63B3BB69-23CF-44E3-9099-C40C66FF867C}">
                  <a14:compatExt spid="_x0000_s8243"/>
                </a:ext>
                <a:ext uri="{FF2B5EF4-FFF2-40B4-BE49-F238E27FC236}">
                  <a16:creationId xmlns:a16="http://schemas.microsoft.com/office/drawing/2014/main" id="{00000000-0008-0000-0700-00003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44</xdr:row>
          <xdr:rowOff>0</xdr:rowOff>
        </xdr:from>
        <xdr:to>
          <xdr:col>17</xdr:col>
          <xdr:colOff>431800</xdr:colOff>
          <xdr:row>45</xdr:row>
          <xdr:rowOff>0</xdr:rowOff>
        </xdr:to>
        <xdr:sp macro="" textlink="">
          <xdr:nvSpPr>
            <xdr:cNvPr id="8244" name="Check Box 52" hidden="1">
              <a:extLst>
                <a:ext uri="{63B3BB69-23CF-44E3-9099-C40C66FF867C}">
                  <a14:compatExt spid="_x0000_s8244"/>
                </a:ext>
                <a:ext uri="{FF2B5EF4-FFF2-40B4-BE49-F238E27FC236}">
                  <a16:creationId xmlns:a16="http://schemas.microsoft.com/office/drawing/2014/main" id="{00000000-0008-0000-0700-00003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44</xdr:row>
          <xdr:rowOff>0</xdr:rowOff>
        </xdr:from>
        <xdr:to>
          <xdr:col>18</xdr:col>
          <xdr:colOff>431800</xdr:colOff>
          <xdr:row>45</xdr:row>
          <xdr:rowOff>0</xdr:rowOff>
        </xdr:to>
        <xdr:sp macro="" textlink="">
          <xdr:nvSpPr>
            <xdr:cNvPr id="8245" name="Check Box 53" hidden="1">
              <a:extLst>
                <a:ext uri="{63B3BB69-23CF-44E3-9099-C40C66FF867C}">
                  <a14:compatExt spid="_x0000_s8245"/>
                </a:ext>
                <a:ext uri="{FF2B5EF4-FFF2-40B4-BE49-F238E27FC236}">
                  <a16:creationId xmlns:a16="http://schemas.microsoft.com/office/drawing/2014/main" id="{00000000-0008-0000-0700-00003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44</xdr:row>
          <xdr:rowOff>0</xdr:rowOff>
        </xdr:from>
        <xdr:to>
          <xdr:col>19</xdr:col>
          <xdr:colOff>431800</xdr:colOff>
          <xdr:row>45</xdr:row>
          <xdr:rowOff>0</xdr:rowOff>
        </xdr:to>
        <xdr:sp macro="" textlink="">
          <xdr:nvSpPr>
            <xdr:cNvPr id="8246" name="Check Box 54" hidden="1">
              <a:extLst>
                <a:ext uri="{63B3BB69-23CF-44E3-9099-C40C66FF867C}">
                  <a14:compatExt spid="_x0000_s8246"/>
                </a:ext>
                <a:ext uri="{FF2B5EF4-FFF2-40B4-BE49-F238E27FC236}">
                  <a16:creationId xmlns:a16="http://schemas.microsoft.com/office/drawing/2014/main" id="{00000000-0008-0000-0700-00003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45</xdr:row>
          <xdr:rowOff>0</xdr:rowOff>
        </xdr:from>
        <xdr:to>
          <xdr:col>17</xdr:col>
          <xdr:colOff>431800</xdr:colOff>
          <xdr:row>46</xdr:row>
          <xdr:rowOff>0</xdr:rowOff>
        </xdr:to>
        <xdr:sp macro="" textlink="">
          <xdr:nvSpPr>
            <xdr:cNvPr id="8247" name="Check Box 55" hidden="1">
              <a:extLst>
                <a:ext uri="{63B3BB69-23CF-44E3-9099-C40C66FF867C}">
                  <a14:compatExt spid="_x0000_s8247"/>
                </a:ext>
                <a:ext uri="{FF2B5EF4-FFF2-40B4-BE49-F238E27FC236}">
                  <a16:creationId xmlns:a16="http://schemas.microsoft.com/office/drawing/2014/main" id="{00000000-0008-0000-0700-00003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45</xdr:row>
          <xdr:rowOff>0</xdr:rowOff>
        </xdr:from>
        <xdr:to>
          <xdr:col>18</xdr:col>
          <xdr:colOff>431800</xdr:colOff>
          <xdr:row>46</xdr:row>
          <xdr:rowOff>0</xdr:rowOff>
        </xdr:to>
        <xdr:sp macro="" textlink="">
          <xdr:nvSpPr>
            <xdr:cNvPr id="8248" name="Check Box 56" hidden="1">
              <a:extLst>
                <a:ext uri="{63B3BB69-23CF-44E3-9099-C40C66FF867C}">
                  <a14:compatExt spid="_x0000_s8248"/>
                </a:ext>
                <a:ext uri="{FF2B5EF4-FFF2-40B4-BE49-F238E27FC236}">
                  <a16:creationId xmlns:a16="http://schemas.microsoft.com/office/drawing/2014/main" id="{00000000-0008-0000-0700-00003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45</xdr:row>
          <xdr:rowOff>0</xdr:rowOff>
        </xdr:from>
        <xdr:to>
          <xdr:col>19</xdr:col>
          <xdr:colOff>431800</xdr:colOff>
          <xdr:row>46</xdr:row>
          <xdr:rowOff>0</xdr:rowOff>
        </xdr:to>
        <xdr:sp macro="" textlink="">
          <xdr:nvSpPr>
            <xdr:cNvPr id="8249" name="Check Box 57" hidden="1">
              <a:extLst>
                <a:ext uri="{63B3BB69-23CF-44E3-9099-C40C66FF867C}">
                  <a14:compatExt spid="_x0000_s8249"/>
                </a:ext>
                <a:ext uri="{FF2B5EF4-FFF2-40B4-BE49-F238E27FC236}">
                  <a16:creationId xmlns:a16="http://schemas.microsoft.com/office/drawing/2014/main" id="{00000000-0008-0000-0700-00003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46</xdr:row>
          <xdr:rowOff>0</xdr:rowOff>
        </xdr:from>
        <xdr:to>
          <xdr:col>17</xdr:col>
          <xdr:colOff>431800</xdr:colOff>
          <xdr:row>47</xdr:row>
          <xdr:rowOff>0</xdr:rowOff>
        </xdr:to>
        <xdr:sp macro="" textlink="">
          <xdr:nvSpPr>
            <xdr:cNvPr id="8250" name="Check Box 58" hidden="1">
              <a:extLst>
                <a:ext uri="{63B3BB69-23CF-44E3-9099-C40C66FF867C}">
                  <a14:compatExt spid="_x0000_s8250"/>
                </a:ext>
                <a:ext uri="{FF2B5EF4-FFF2-40B4-BE49-F238E27FC236}">
                  <a16:creationId xmlns:a16="http://schemas.microsoft.com/office/drawing/2014/main" id="{00000000-0008-0000-0700-00003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46</xdr:row>
          <xdr:rowOff>0</xdr:rowOff>
        </xdr:from>
        <xdr:to>
          <xdr:col>18</xdr:col>
          <xdr:colOff>431800</xdr:colOff>
          <xdr:row>47</xdr:row>
          <xdr:rowOff>0</xdr:rowOff>
        </xdr:to>
        <xdr:sp macro="" textlink="">
          <xdr:nvSpPr>
            <xdr:cNvPr id="8251" name="Check Box 59" hidden="1">
              <a:extLst>
                <a:ext uri="{63B3BB69-23CF-44E3-9099-C40C66FF867C}">
                  <a14:compatExt spid="_x0000_s8251"/>
                </a:ext>
                <a:ext uri="{FF2B5EF4-FFF2-40B4-BE49-F238E27FC236}">
                  <a16:creationId xmlns:a16="http://schemas.microsoft.com/office/drawing/2014/main" id="{00000000-0008-0000-0700-00003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46</xdr:row>
          <xdr:rowOff>0</xdr:rowOff>
        </xdr:from>
        <xdr:to>
          <xdr:col>19</xdr:col>
          <xdr:colOff>431800</xdr:colOff>
          <xdr:row>47</xdr:row>
          <xdr:rowOff>0</xdr:rowOff>
        </xdr:to>
        <xdr:sp macro="" textlink="">
          <xdr:nvSpPr>
            <xdr:cNvPr id="8252" name="Check Box 60" hidden="1">
              <a:extLst>
                <a:ext uri="{63B3BB69-23CF-44E3-9099-C40C66FF867C}">
                  <a14:compatExt spid="_x0000_s8252"/>
                </a:ext>
                <a:ext uri="{FF2B5EF4-FFF2-40B4-BE49-F238E27FC236}">
                  <a16:creationId xmlns:a16="http://schemas.microsoft.com/office/drawing/2014/main" id="{00000000-0008-0000-0700-00003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47</xdr:row>
          <xdr:rowOff>0</xdr:rowOff>
        </xdr:from>
        <xdr:to>
          <xdr:col>17</xdr:col>
          <xdr:colOff>431800</xdr:colOff>
          <xdr:row>48</xdr:row>
          <xdr:rowOff>0</xdr:rowOff>
        </xdr:to>
        <xdr:sp macro="" textlink="">
          <xdr:nvSpPr>
            <xdr:cNvPr id="8253" name="Check Box 61" hidden="1">
              <a:extLst>
                <a:ext uri="{63B3BB69-23CF-44E3-9099-C40C66FF867C}">
                  <a14:compatExt spid="_x0000_s8253"/>
                </a:ext>
                <a:ext uri="{FF2B5EF4-FFF2-40B4-BE49-F238E27FC236}">
                  <a16:creationId xmlns:a16="http://schemas.microsoft.com/office/drawing/2014/main" id="{00000000-0008-0000-0700-00003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47</xdr:row>
          <xdr:rowOff>0</xdr:rowOff>
        </xdr:from>
        <xdr:to>
          <xdr:col>18</xdr:col>
          <xdr:colOff>431800</xdr:colOff>
          <xdr:row>48</xdr:row>
          <xdr:rowOff>0</xdr:rowOff>
        </xdr:to>
        <xdr:sp macro="" textlink="">
          <xdr:nvSpPr>
            <xdr:cNvPr id="8254" name="Check Box 62" hidden="1">
              <a:extLst>
                <a:ext uri="{63B3BB69-23CF-44E3-9099-C40C66FF867C}">
                  <a14:compatExt spid="_x0000_s8254"/>
                </a:ext>
                <a:ext uri="{FF2B5EF4-FFF2-40B4-BE49-F238E27FC236}">
                  <a16:creationId xmlns:a16="http://schemas.microsoft.com/office/drawing/2014/main" id="{00000000-0008-0000-0700-00003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47</xdr:row>
          <xdr:rowOff>0</xdr:rowOff>
        </xdr:from>
        <xdr:to>
          <xdr:col>19</xdr:col>
          <xdr:colOff>431800</xdr:colOff>
          <xdr:row>48</xdr:row>
          <xdr:rowOff>0</xdr:rowOff>
        </xdr:to>
        <xdr:sp macro="" textlink="">
          <xdr:nvSpPr>
            <xdr:cNvPr id="8255" name="Check Box 63" hidden="1">
              <a:extLst>
                <a:ext uri="{63B3BB69-23CF-44E3-9099-C40C66FF867C}">
                  <a14:compatExt spid="_x0000_s8255"/>
                </a:ext>
                <a:ext uri="{FF2B5EF4-FFF2-40B4-BE49-F238E27FC236}">
                  <a16:creationId xmlns:a16="http://schemas.microsoft.com/office/drawing/2014/main" id="{00000000-0008-0000-0700-00003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48</xdr:row>
          <xdr:rowOff>0</xdr:rowOff>
        </xdr:from>
        <xdr:to>
          <xdr:col>17</xdr:col>
          <xdr:colOff>431800</xdr:colOff>
          <xdr:row>49</xdr:row>
          <xdr:rowOff>0</xdr:rowOff>
        </xdr:to>
        <xdr:sp macro="" textlink="">
          <xdr:nvSpPr>
            <xdr:cNvPr id="8256" name="Check Box 64" hidden="1">
              <a:extLst>
                <a:ext uri="{63B3BB69-23CF-44E3-9099-C40C66FF867C}">
                  <a14:compatExt spid="_x0000_s8256"/>
                </a:ext>
                <a:ext uri="{FF2B5EF4-FFF2-40B4-BE49-F238E27FC236}">
                  <a16:creationId xmlns:a16="http://schemas.microsoft.com/office/drawing/2014/main" id="{00000000-0008-0000-0700-00004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48</xdr:row>
          <xdr:rowOff>0</xdr:rowOff>
        </xdr:from>
        <xdr:to>
          <xdr:col>18</xdr:col>
          <xdr:colOff>431800</xdr:colOff>
          <xdr:row>49</xdr:row>
          <xdr:rowOff>0</xdr:rowOff>
        </xdr:to>
        <xdr:sp macro="" textlink="">
          <xdr:nvSpPr>
            <xdr:cNvPr id="8257" name="Check Box 65" hidden="1">
              <a:extLst>
                <a:ext uri="{63B3BB69-23CF-44E3-9099-C40C66FF867C}">
                  <a14:compatExt spid="_x0000_s8257"/>
                </a:ext>
                <a:ext uri="{FF2B5EF4-FFF2-40B4-BE49-F238E27FC236}">
                  <a16:creationId xmlns:a16="http://schemas.microsoft.com/office/drawing/2014/main" id="{00000000-0008-0000-0700-00004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48</xdr:row>
          <xdr:rowOff>0</xdr:rowOff>
        </xdr:from>
        <xdr:to>
          <xdr:col>19</xdr:col>
          <xdr:colOff>431800</xdr:colOff>
          <xdr:row>49</xdr:row>
          <xdr:rowOff>0</xdr:rowOff>
        </xdr:to>
        <xdr:sp macro="" textlink="">
          <xdr:nvSpPr>
            <xdr:cNvPr id="8258" name="Check Box 66" hidden="1">
              <a:extLst>
                <a:ext uri="{63B3BB69-23CF-44E3-9099-C40C66FF867C}">
                  <a14:compatExt spid="_x0000_s8258"/>
                </a:ext>
                <a:ext uri="{FF2B5EF4-FFF2-40B4-BE49-F238E27FC236}">
                  <a16:creationId xmlns:a16="http://schemas.microsoft.com/office/drawing/2014/main" id="{00000000-0008-0000-0700-00004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49</xdr:row>
          <xdr:rowOff>0</xdr:rowOff>
        </xdr:from>
        <xdr:to>
          <xdr:col>17</xdr:col>
          <xdr:colOff>431800</xdr:colOff>
          <xdr:row>50</xdr:row>
          <xdr:rowOff>0</xdr:rowOff>
        </xdr:to>
        <xdr:sp macro="" textlink="">
          <xdr:nvSpPr>
            <xdr:cNvPr id="8259" name="Check Box 67" hidden="1">
              <a:extLst>
                <a:ext uri="{63B3BB69-23CF-44E3-9099-C40C66FF867C}">
                  <a14:compatExt spid="_x0000_s8259"/>
                </a:ext>
                <a:ext uri="{FF2B5EF4-FFF2-40B4-BE49-F238E27FC236}">
                  <a16:creationId xmlns:a16="http://schemas.microsoft.com/office/drawing/2014/main" id="{00000000-0008-0000-0700-00004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49</xdr:row>
          <xdr:rowOff>0</xdr:rowOff>
        </xdr:from>
        <xdr:to>
          <xdr:col>18</xdr:col>
          <xdr:colOff>431800</xdr:colOff>
          <xdr:row>50</xdr:row>
          <xdr:rowOff>0</xdr:rowOff>
        </xdr:to>
        <xdr:sp macro="" textlink="">
          <xdr:nvSpPr>
            <xdr:cNvPr id="8260" name="Check Box 68" hidden="1">
              <a:extLst>
                <a:ext uri="{63B3BB69-23CF-44E3-9099-C40C66FF867C}">
                  <a14:compatExt spid="_x0000_s8260"/>
                </a:ext>
                <a:ext uri="{FF2B5EF4-FFF2-40B4-BE49-F238E27FC236}">
                  <a16:creationId xmlns:a16="http://schemas.microsoft.com/office/drawing/2014/main" id="{00000000-0008-0000-0700-00004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49</xdr:row>
          <xdr:rowOff>0</xdr:rowOff>
        </xdr:from>
        <xdr:to>
          <xdr:col>19</xdr:col>
          <xdr:colOff>431800</xdr:colOff>
          <xdr:row>50</xdr:row>
          <xdr:rowOff>0</xdr:rowOff>
        </xdr:to>
        <xdr:sp macro="" textlink="">
          <xdr:nvSpPr>
            <xdr:cNvPr id="8261" name="Check Box 69" hidden="1">
              <a:extLst>
                <a:ext uri="{63B3BB69-23CF-44E3-9099-C40C66FF867C}">
                  <a14:compatExt spid="_x0000_s8261"/>
                </a:ext>
                <a:ext uri="{FF2B5EF4-FFF2-40B4-BE49-F238E27FC236}">
                  <a16:creationId xmlns:a16="http://schemas.microsoft.com/office/drawing/2014/main" id="{00000000-0008-0000-0700-00004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54</xdr:row>
          <xdr:rowOff>0</xdr:rowOff>
        </xdr:from>
        <xdr:to>
          <xdr:col>17</xdr:col>
          <xdr:colOff>431800</xdr:colOff>
          <xdr:row>55</xdr:row>
          <xdr:rowOff>0</xdr:rowOff>
        </xdr:to>
        <xdr:sp macro="" textlink="">
          <xdr:nvSpPr>
            <xdr:cNvPr id="8262" name="Check Box 70" hidden="1">
              <a:extLst>
                <a:ext uri="{63B3BB69-23CF-44E3-9099-C40C66FF867C}">
                  <a14:compatExt spid="_x0000_s8262"/>
                </a:ext>
                <a:ext uri="{FF2B5EF4-FFF2-40B4-BE49-F238E27FC236}">
                  <a16:creationId xmlns:a16="http://schemas.microsoft.com/office/drawing/2014/main" id="{00000000-0008-0000-0700-00004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54</xdr:row>
          <xdr:rowOff>0</xdr:rowOff>
        </xdr:from>
        <xdr:to>
          <xdr:col>18</xdr:col>
          <xdr:colOff>431800</xdr:colOff>
          <xdr:row>55</xdr:row>
          <xdr:rowOff>0</xdr:rowOff>
        </xdr:to>
        <xdr:sp macro="" textlink="">
          <xdr:nvSpPr>
            <xdr:cNvPr id="8263" name="Check Box 71" hidden="1">
              <a:extLst>
                <a:ext uri="{63B3BB69-23CF-44E3-9099-C40C66FF867C}">
                  <a14:compatExt spid="_x0000_s8263"/>
                </a:ext>
                <a:ext uri="{FF2B5EF4-FFF2-40B4-BE49-F238E27FC236}">
                  <a16:creationId xmlns:a16="http://schemas.microsoft.com/office/drawing/2014/main" id="{00000000-0008-0000-0700-00004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54</xdr:row>
          <xdr:rowOff>0</xdr:rowOff>
        </xdr:from>
        <xdr:to>
          <xdr:col>19</xdr:col>
          <xdr:colOff>431800</xdr:colOff>
          <xdr:row>55</xdr:row>
          <xdr:rowOff>0</xdr:rowOff>
        </xdr:to>
        <xdr:sp macro="" textlink="">
          <xdr:nvSpPr>
            <xdr:cNvPr id="8264" name="Check Box 72" hidden="1">
              <a:extLst>
                <a:ext uri="{63B3BB69-23CF-44E3-9099-C40C66FF867C}">
                  <a14:compatExt spid="_x0000_s8264"/>
                </a:ext>
                <a:ext uri="{FF2B5EF4-FFF2-40B4-BE49-F238E27FC236}">
                  <a16:creationId xmlns:a16="http://schemas.microsoft.com/office/drawing/2014/main" id="{00000000-0008-0000-0700-00004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55</xdr:row>
          <xdr:rowOff>0</xdr:rowOff>
        </xdr:from>
        <xdr:to>
          <xdr:col>17</xdr:col>
          <xdr:colOff>431800</xdr:colOff>
          <xdr:row>56</xdr:row>
          <xdr:rowOff>0</xdr:rowOff>
        </xdr:to>
        <xdr:sp macro="" textlink="">
          <xdr:nvSpPr>
            <xdr:cNvPr id="8265" name="Check Box 73" hidden="1">
              <a:extLst>
                <a:ext uri="{63B3BB69-23CF-44E3-9099-C40C66FF867C}">
                  <a14:compatExt spid="_x0000_s8265"/>
                </a:ext>
                <a:ext uri="{FF2B5EF4-FFF2-40B4-BE49-F238E27FC236}">
                  <a16:creationId xmlns:a16="http://schemas.microsoft.com/office/drawing/2014/main" id="{00000000-0008-0000-0700-00004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55</xdr:row>
          <xdr:rowOff>0</xdr:rowOff>
        </xdr:from>
        <xdr:to>
          <xdr:col>18</xdr:col>
          <xdr:colOff>431800</xdr:colOff>
          <xdr:row>56</xdr:row>
          <xdr:rowOff>0</xdr:rowOff>
        </xdr:to>
        <xdr:sp macro="" textlink="">
          <xdr:nvSpPr>
            <xdr:cNvPr id="8266" name="Check Box 74" hidden="1">
              <a:extLst>
                <a:ext uri="{63B3BB69-23CF-44E3-9099-C40C66FF867C}">
                  <a14:compatExt spid="_x0000_s8266"/>
                </a:ext>
                <a:ext uri="{FF2B5EF4-FFF2-40B4-BE49-F238E27FC236}">
                  <a16:creationId xmlns:a16="http://schemas.microsoft.com/office/drawing/2014/main" id="{00000000-0008-0000-0700-00004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55</xdr:row>
          <xdr:rowOff>0</xdr:rowOff>
        </xdr:from>
        <xdr:to>
          <xdr:col>19</xdr:col>
          <xdr:colOff>431800</xdr:colOff>
          <xdr:row>56</xdr:row>
          <xdr:rowOff>0</xdr:rowOff>
        </xdr:to>
        <xdr:sp macro="" textlink="">
          <xdr:nvSpPr>
            <xdr:cNvPr id="8267" name="Check Box 75" hidden="1">
              <a:extLst>
                <a:ext uri="{63B3BB69-23CF-44E3-9099-C40C66FF867C}">
                  <a14:compatExt spid="_x0000_s8267"/>
                </a:ext>
                <a:ext uri="{FF2B5EF4-FFF2-40B4-BE49-F238E27FC236}">
                  <a16:creationId xmlns:a16="http://schemas.microsoft.com/office/drawing/2014/main" id="{00000000-0008-0000-0700-00004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56</xdr:row>
          <xdr:rowOff>0</xdr:rowOff>
        </xdr:from>
        <xdr:to>
          <xdr:col>17</xdr:col>
          <xdr:colOff>431800</xdr:colOff>
          <xdr:row>57</xdr:row>
          <xdr:rowOff>0</xdr:rowOff>
        </xdr:to>
        <xdr:sp macro="" textlink="">
          <xdr:nvSpPr>
            <xdr:cNvPr id="8268" name="Check Box 76" hidden="1">
              <a:extLst>
                <a:ext uri="{63B3BB69-23CF-44E3-9099-C40C66FF867C}">
                  <a14:compatExt spid="_x0000_s8268"/>
                </a:ext>
                <a:ext uri="{FF2B5EF4-FFF2-40B4-BE49-F238E27FC236}">
                  <a16:creationId xmlns:a16="http://schemas.microsoft.com/office/drawing/2014/main" id="{00000000-0008-0000-0700-00004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56</xdr:row>
          <xdr:rowOff>0</xdr:rowOff>
        </xdr:from>
        <xdr:to>
          <xdr:col>18</xdr:col>
          <xdr:colOff>431800</xdr:colOff>
          <xdr:row>57</xdr:row>
          <xdr:rowOff>0</xdr:rowOff>
        </xdr:to>
        <xdr:sp macro="" textlink="">
          <xdr:nvSpPr>
            <xdr:cNvPr id="8269" name="Check Box 77" hidden="1">
              <a:extLst>
                <a:ext uri="{63B3BB69-23CF-44E3-9099-C40C66FF867C}">
                  <a14:compatExt spid="_x0000_s8269"/>
                </a:ext>
                <a:ext uri="{FF2B5EF4-FFF2-40B4-BE49-F238E27FC236}">
                  <a16:creationId xmlns:a16="http://schemas.microsoft.com/office/drawing/2014/main" id="{00000000-0008-0000-0700-00004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56</xdr:row>
          <xdr:rowOff>0</xdr:rowOff>
        </xdr:from>
        <xdr:to>
          <xdr:col>19</xdr:col>
          <xdr:colOff>431800</xdr:colOff>
          <xdr:row>57</xdr:row>
          <xdr:rowOff>0</xdr:rowOff>
        </xdr:to>
        <xdr:sp macro="" textlink="">
          <xdr:nvSpPr>
            <xdr:cNvPr id="8270" name="Check Box 78" hidden="1">
              <a:extLst>
                <a:ext uri="{63B3BB69-23CF-44E3-9099-C40C66FF867C}">
                  <a14:compatExt spid="_x0000_s8270"/>
                </a:ext>
                <a:ext uri="{FF2B5EF4-FFF2-40B4-BE49-F238E27FC236}">
                  <a16:creationId xmlns:a16="http://schemas.microsoft.com/office/drawing/2014/main" id="{00000000-0008-0000-0700-00004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57</xdr:row>
          <xdr:rowOff>0</xdr:rowOff>
        </xdr:from>
        <xdr:to>
          <xdr:col>17</xdr:col>
          <xdr:colOff>431800</xdr:colOff>
          <xdr:row>58</xdr:row>
          <xdr:rowOff>0</xdr:rowOff>
        </xdr:to>
        <xdr:sp macro="" textlink="">
          <xdr:nvSpPr>
            <xdr:cNvPr id="8271" name="Check Box 79" hidden="1">
              <a:extLst>
                <a:ext uri="{63B3BB69-23CF-44E3-9099-C40C66FF867C}">
                  <a14:compatExt spid="_x0000_s8271"/>
                </a:ext>
                <a:ext uri="{FF2B5EF4-FFF2-40B4-BE49-F238E27FC236}">
                  <a16:creationId xmlns:a16="http://schemas.microsoft.com/office/drawing/2014/main" id="{00000000-0008-0000-0700-00004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57</xdr:row>
          <xdr:rowOff>0</xdr:rowOff>
        </xdr:from>
        <xdr:to>
          <xdr:col>18</xdr:col>
          <xdr:colOff>431800</xdr:colOff>
          <xdr:row>58</xdr:row>
          <xdr:rowOff>0</xdr:rowOff>
        </xdr:to>
        <xdr:sp macro="" textlink="">
          <xdr:nvSpPr>
            <xdr:cNvPr id="8272" name="Check Box 80" hidden="1">
              <a:extLst>
                <a:ext uri="{63B3BB69-23CF-44E3-9099-C40C66FF867C}">
                  <a14:compatExt spid="_x0000_s8272"/>
                </a:ext>
                <a:ext uri="{FF2B5EF4-FFF2-40B4-BE49-F238E27FC236}">
                  <a16:creationId xmlns:a16="http://schemas.microsoft.com/office/drawing/2014/main" id="{00000000-0008-0000-0700-00005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57</xdr:row>
          <xdr:rowOff>0</xdr:rowOff>
        </xdr:from>
        <xdr:to>
          <xdr:col>19</xdr:col>
          <xdr:colOff>431800</xdr:colOff>
          <xdr:row>58</xdr:row>
          <xdr:rowOff>0</xdr:rowOff>
        </xdr:to>
        <xdr:sp macro="" textlink="">
          <xdr:nvSpPr>
            <xdr:cNvPr id="8273" name="Check Box 81" hidden="1">
              <a:extLst>
                <a:ext uri="{63B3BB69-23CF-44E3-9099-C40C66FF867C}">
                  <a14:compatExt spid="_x0000_s8273"/>
                </a:ext>
                <a:ext uri="{FF2B5EF4-FFF2-40B4-BE49-F238E27FC236}">
                  <a16:creationId xmlns:a16="http://schemas.microsoft.com/office/drawing/2014/main" id="{00000000-0008-0000-0700-00005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58</xdr:row>
          <xdr:rowOff>0</xdr:rowOff>
        </xdr:from>
        <xdr:to>
          <xdr:col>17</xdr:col>
          <xdr:colOff>431800</xdr:colOff>
          <xdr:row>59</xdr:row>
          <xdr:rowOff>0</xdr:rowOff>
        </xdr:to>
        <xdr:sp macro="" textlink="">
          <xdr:nvSpPr>
            <xdr:cNvPr id="8274" name="Check Box 82" hidden="1">
              <a:extLst>
                <a:ext uri="{63B3BB69-23CF-44E3-9099-C40C66FF867C}">
                  <a14:compatExt spid="_x0000_s8274"/>
                </a:ext>
                <a:ext uri="{FF2B5EF4-FFF2-40B4-BE49-F238E27FC236}">
                  <a16:creationId xmlns:a16="http://schemas.microsoft.com/office/drawing/2014/main" id="{00000000-0008-0000-0700-00005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58</xdr:row>
          <xdr:rowOff>0</xdr:rowOff>
        </xdr:from>
        <xdr:to>
          <xdr:col>18</xdr:col>
          <xdr:colOff>431800</xdr:colOff>
          <xdr:row>59</xdr:row>
          <xdr:rowOff>0</xdr:rowOff>
        </xdr:to>
        <xdr:sp macro="" textlink="">
          <xdr:nvSpPr>
            <xdr:cNvPr id="8275" name="Check Box 83" hidden="1">
              <a:extLst>
                <a:ext uri="{63B3BB69-23CF-44E3-9099-C40C66FF867C}">
                  <a14:compatExt spid="_x0000_s8275"/>
                </a:ext>
                <a:ext uri="{FF2B5EF4-FFF2-40B4-BE49-F238E27FC236}">
                  <a16:creationId xmlns:a16="http://schemas.microsoft.com/office/drawing/2014/main" id="{00000000-0008-0000-0700-00005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58</xdr:row>
          <xdr:rowOff>0</xdr:rowOff>
        </xdr:from>
        <xdr:to>
          <xdr:col>19</xdr:col>
          <xdr:colOff>431800</xdr:colOff>
          <xdr:row>59</xdr:row>
          <xdr:rowOff>0</xdr:rowOff>
        </xdr:to>
        <xdr:sp macro="" textlink="">
          <xdr:nvSpPr>
            <xdr:cNvPr id="8276" name="Check Box 84" hidden="1">
              <a:extLst>
                <a:ext uri="{63B3BB69-23CF-44E3-9099-C40C66FF867C}">
                  <a14:compatExt spid="_x0000_s8276"/>
                </a:ext>
                <a:ext uri="{FF2B5EF4-FFF2-40B4-BE49-F238E27FC236}">
                  <a16:creationId xmlns:a16="http://schemas.microsoft.com/office/drawing/2014/main" id="{00000000-0008-0000-0700-00005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59</xdr:row>
          <xdr:rowOff>0</xdr:rowOff>
        </xdr:from>
        <xdr:to>
          <xdr:col>17</xdr:col>
          <xdr:colOff>431800</xdr:colOff>
          <xdr:row>60</xdr:row>
          <xdr:rowOff>0</xdr:rowOff>
        </xdr:to>
        <xdr:sp macro="" textlink="">
          <xdr:nvSpPr>
            <xdr:cNvPr id="8277" name="Check Box 85" hidden="1">
              <a:extLst>
                <a:ext uri="{63B3BB69-23CF-44E3-9099-C40C66FF867C}">
                  <a14:compatExt spid="_x0000_s8277"/>
                </a:ext>
                <a:ext uri="{FF2B5EF4-FFF2-40B4-BE49-F238E27FC236}">
                  <a16:creationId xmlns:a16="http://schemas.microsoft.com/office/drawing/2014/main" id="{00000000-0008-0000-0700-00005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59</xdr:row>
          <xdr:rowOff>0</xdr:rowOff>
        </xdr:from>
        <xdr:to>
          <xdr:col>18</xdr:col>
          <xdr:colOff>431800</xdr:colOff>
          <xdr:row>60</xdr:row>
          <xdr:rowOff>0</xdr:rowOff>
        </xdr:to>
        <xdr:sp macro="" textlink="">
          <xdr:nvSpPr>
            <xdr:cNvPr id="8278" name="Check Box 86" hidden="1">
              <a:extLst>
                <a:ext uri="{63B3BB69-23CF-44E3-9099-C40C66FF867C}">
                  <a14:compatExt spid="_x0000_s8278"/>
                </a:ext>
                <a:ext uri="{FF2B5EF4-FFF2-40B4-BE49-F238E27FC236}">
                  <a16:creationId xmlns:a16="http://schemas.microsoft.com/office/drawing/2014/main" id="{00000000-0008-0000-0700-00005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59</xdr:row>
          <xdr:rowOff>0</xdr:rowOff>
        </xdr:from>
        <xdr:to>
          <xdr:col>19</xdr:col>
          <xdr:colOff>431800</xdr:colOff>
          <xdr:row>60</xdr:row>
          <xdr:rowOff>0</xdr:rowOff>
        </xdr:to>
        <xdr:sp macro="" textlink="">
          <xdr:nvSpPr>
            <xdr:cNvPr id="8279" name="Check Box 87" hidden="1">
              <a:extLst>
                <a:ext uri="{63B3BB69-23CF-44E3-9099-C40C66FF867C}">
                  <a14:compatExt spid="_x0000_s8279"/>
                </a:ext>
                <a:ext uri="{FF2B5EF4-FFF2-40B4-BE49-F238E27FC236}">
                  <a16:creationId xmlns:a16="http://schemas.microsoft.com/office/drawing/2014/main" id="{00000000-0008-0000-0700-00005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62</xdr:row>
          <xdr:rowOff>0</xdr:rowOff>
        </xdr:from>
        <xdr:to>
          <xdr:col>17</xdr:col>
          <xdr:colOff>431800</xdr:colOff>
          <xdr:row>63</xdr:row>
          <xdr:rowOff>0</xdr:rowOff>
        </xdr:to>
        <xdr:sp macro="" textlink="">
          <xdr:nvSpPr>
            <xdr:cNvPr id="8280" name="Check Box 88" hidden="1">
              <a:extLst>
                <a:ext uri="{63B3BB69-23CF-44E3-9099-C40C66FF867C}">
                  <a14:compatExt spid="_x0000_s8280"/>
                </a:ext>
                <a:ext uri="{FF2B5EF4-FFF2-40B4-BE49-F238E27FC236}">
                  <a16:creationId xmlns:a16="http://schemas.microsoft.com/office/drawing/2014/main" id="{00000000-0008-0000-0700-00005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62</xdr:row>
          <xdr:rowOff>0</xdr:rowOff>
        </xdr:from>
        <xdr:to>
          <xdr:col>18</xdr:col>
          <xdr:colOff>431800</xdr:colOff>
          <xdr:row>63</xdr:row>
          <xdr:rowOff>0</xdr:rowOff>
        </xdr:to>
        <xdr:sp macro="" textlink="">
          <xdr:nvSpPr>
            <xdr:cNvPr id="8281" name="Check Box 89" hidden="1">
              <a:extLst>
                <a:ext uri="{63B3BB69-23CF-44E3-9099-C40C66FF867C}">
                  <a14:compatExt spid="_x0000_s8281"/>
                </a:ext>
                <a:ext uri="{FF2B5EF4-FFF2-40B4-BE49-F238E27FC236}">
                  <a16:creationId xmlns:a16="http://schemas.microsoft.com/office/drawing/2014/main" id="{00000000-0008-0000-0700-00005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62</xdr:row>
          <xdr:rowOff>0</xdr:rowOff>
        </xdr:from>
        <xdr:to>
          <xdr:col>19</xdr:col>
          <xdr:colOff>431800</xdr:colOff>
          <xdr:row>63</xdr:row>
          <xdr:rowOff>0</xdr:rowOff>
        </xdr:to>
        <xdr:sp macro="" textlink="">
          <xdr:nvSpPr>
            <xdr:cNvPr id="8282" name="Check Box 90" hidden="1">
              <a:extLst>
                <a:ext uri="{63B3BB69-23CF-44E3-9099-C40C66FF867C}">
                  <a14:compatExt spid="_x0000_s8282"/>
                </a:ext>
                <a:ext uri="{FF2B5EF4-FFF2-40B4-BE49-F238E27FC236}">
                  <a16:creationId xmlns:a16="http://schemas.microsoft.com/office/drawing/2014/main" id="{00000000-0008-0000-0700-00005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63</xdr:row>
          <xdr:rowOff>0</xdr:rowOff>
        </xdr:from>
        <xdr:to>
          <xdr:col>17</xdr:col>
          <xdr:colOff>431800</xdr:colOff>
          <xdr:row>64</xdr:row>
          <xdr:rowOff>0</xdr:rowOff>
        </xdr:to>
        <xdr:sp macro="" textlink="">
          <xdr:nvSpPr>
            <xdr:cNvPr id="8283" name="Check Box 91" hidden="1">
              <a:extLst>
                <a:ext uri="{63B3BB69-23CF-44E3-9099-C40C66FF867C}">
                  <a14:compatExt spid="_x0000_s8283"/>
                </a:ext>
                <a:ext uri="{FF2B5EF4-FFF2-40B4-BE49-F238E27FC236}">
                  <a16:creationId xmlns:a16="http://schemas.microsoft.com/office/drawing/2014/main" id="{00000000-0008-0000-0700-00005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63</xdr:row>
          <xdr:rowOff>0</xdr:rowOff>
        </xdr:from>
        <xdr:to>
          <xdr:col>18</xdr:col>
          <xdr:colOff>431800</xdr:colOff>
          <xdr:row>64</xdr:row>
          <xdr:rowOff>0</xdr:rowOff>
        </xdr:to>
        <xdr:sp macro="" textlink="">
          <xdr:nvSpPr>
            <xdr:cNvPr id="8284" name="Check Box 92" hidden="1">
              <a:extLst>
                <a:ext uri="{63B3BB69-23CF-44E3-9099-C40C66FF867C}">
                  <a14:compatExt spid="_x0000_s8284"/>
                </a:ext>
                <a:ext uri="{FF2B5EF4-FFF2-40B4-BE49-F238E27FC236}">
                  <a16:creationId xmlns:a16="http://schemas.microsoft.com/office/drawing/2014/main" id="{00000000-0008-0000-0700-00005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63</xdr:row>
          <xdr:rowOff>0</xdr:rowOff>
        </xdr:from>
        <xdr:to>
          <xdr:col>19</xdr:col>
          <xdr:colOff>431800</xdr:colOff>
          <xdr:row>64</xdr:row>
          <xdr:rowOff>0</xdr:rowOff>
        </xdr:to>
        <xdr:sp macro="" textlink="">
          <xdr:nvSpPr>
            <xdr:cNvPr id="8285" name="Check Box 93" hidden="1">
              <a:extLst>
                <a:ext uri="{63B3BB69-23CF-44E3-9099-C40C66FF867C}">
                  <a14:compatExt spid="_x0000_s8285"/>
                </a:ext>
                <a:ext uri="{FF2B5EF4-FFF2-40B4-BE49-F238E27FC236}">
                  <a16:creationId xmlns:a16="http://schemas.microsoft.com/office/drawing/2014/main" id="{00000000-0008-0000-0700-00005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64</xdr:row>
          <xdr:rowOff>0</xdr:rowOff>
        </xdr:from>
        <xdr:to>
          <xdr:col>17</xdr:col>
          <xdr:colOff>431800</xdr:colOff>
          <xdr:row>65</xdr:row>
          <xdr:rowOff>0</xdr:rowOff>
        </xdr:to>
        <xdr:sp macro="" textlink="">
          <xdr:nvSpPr>
            <xdr:cNvPr id="8286" name="Check Box 94" hidden="1">
              <a:extLst>
                <a:ext uri="{63B3BB69-23CF-44E3-9099-C40C66FF867C}">
                  <a14:compatExt spid="_x0000_s8286"/>
                </a:ext>
                <a:ext uri="{FF2B5EF4-FFF2-40B4-BE49-F238E27FC236}">
                  <a16:creationId xmlns:a16="http://schemas.microsoft.com/office/drawing/2014/main" id="{00000000-0008-0000-0700-00005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64</xdr:row>
          <xdr:rowOff>0</xdr:rowOff>
        </xdr:from>
        <xdr:to>
          <xdr:col>18</xdr:col>
          <xdr:colOff>431800</xdr:colOff>
          <xdr:row>65</xdr:row>
          <xdr:rowOff>0</xdr:rowOff>
        </xdr:to>
        <xdr:sp macro="" textlink="">
          <xdr:nvSpPr>
            <xdr:cNvPr id="8287" name="Check Box 95" hidden="1">
              <a:extLst>
                <a:ext uri="{63B3BB69-23CF-44E3-9099-C40C66FF867C}">
                  <a14:compatExt spid="_x0000_s8287"/>
                </a:ext>
                <a:ext uri="{FF2B5EF4-FFF2-40B4-BE49-F238E27FC236}">
                  <a16:creationId xmlns:a16="http://schemas.microsoft.com/office/drawing/2014/main" id="{00000000-0008-0000-0700-00005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64</xdr:row>
          <xdr:rowOff>0</xdr:rowOff>
        </xdr:from>
        <xdr:to>
          <xdr:col>19</xdr:col>
          <xdr:colOff>431800</xdr:colOff>
          <xdr:row>65</xdr:row>
          <xdr:rowOff>0</xdr:rowOff>
        </xdr:to>
        <xdr:sp macro="" textlink="">
          <xdr:nvSpPr>
            <xdr:cNvPr id="8288" name="Check Box 96" hidden="1">
              <a:extLst>
                <a:ext uri="{63B3BB69-23CF-44E3-9099-C40C66FF867C}">
                  <a14:compatExt spid="_x0000_s8288"/>
                </a:ext>
                <a:ext uri="{FF2B5EF4-FFF2-40B4-BE49-F238E27FC236}">
                  <a16:creationId xmlns:a16="http://schemas.microsoft.com/office/drawing/2014/main" id="{00000000-0008-0000-0700-00006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67</xdr:row>
          <xdr:rowOff>0</xdr:rowOff>
        </xdr:from>
        <xdr:to>
          <xdr:col>17</xdr:col>
          <xdr:colOff>431800</xdr:colOff>
          <xdr:row>68</xdr:row>
          <xdr:rowOff>0</xdr:rowOff>
        </xdr:to>
        <xdr:sp macro="" textlink="">
          <xdr:nvSpPr>
            <xdr:cNvPr id="8289" name="Check Box 97" hidden="1">
              <a:extLst>
                <a:ext uri="{63B3BB69-23CF-44E3-9099-C40C66FF867C}">
                  <a14:compatExt spid="_x0000_s8289"/>
                </a:ext>
                <a:ext uri="{FF2B5EF4-FFF2-40B4-BE49-F238E27FC236}">
                  <a16:creationId xmlns:a16="http://schemas.microsoft.com/office/drawing/2014/main" id="{00000000-0008-0000-0700-00006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67</xdr:row>
          <xdr:rowOff>0</xdr:rowOff>
        </xdr:from>
        <xdr:to>
          <xdr:col>18</xdr:col>
          <xdr:colOff>431800</xdr:colOff>
          <xdr:row>68</xdr:row>
          <xdr:rowOff>0</xdr:rowOff>
        </xdr:to>
        <xdr:sp macro="" textlink="">
          <xdr:nvSpPr>
            <xdr:cNvPr id="8290" name="Check Box 98" hidden="1">
              <a:extLst>
                <a:ext uri="{63B3BB69-23CF-44E3-9099-C40C66FF867C}">
                  <a14:compatExt spid="_x0000_s8290"/>
                </a:ext>
                <a:ext uri="{FF2B5EF4-FFF2-40B4-BE49-F238E27FC236}">
                  <a16:creationId xmlns:a16="http://schemas.microsoft.com/office/drawing/2014/main" id="{00000000-0008-0000-0700-00006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67</xdr:row>
          <xdr:rowOff>0</xdr:rowOff>
        </xdr:from>
        <xdr:to>
          <xdr:col>19</xdr:col>
          <xdr:colOff>431800</xdr:colOff>
          <xdr:row>68</xdr:row>
          <xdr:rowOff>0</xdr:rowOff>
        </xdr:to>
        <xdr:sp macro="" textlink="">
          <xdr:nvSpPr>
            <xdr:cNvPr id="8291" name="Check Box 99" hidden="1">
              <a:extLst>
                <a:ext uri="{63B3BB69-23CF-44E3-9099-C40C66FF867C}">
                  <a14:compatExt spid="_x0000_s8291"/>
                </a:ext>
                <a:ext uri="{FF2B5EF4-FFF2-40B4-BE49-F238E27FC236}">
                  <a16:creationId xmlns:a16="http://schemas.microsoft.com/office/drawing/2014/main" id="{00000000-0008-0000-0700-00006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71</xdr:row>
          <xdr:rowOff>0</xdr:rowOff>
        </xdr:from>
        <xdr:to>
          <xdr:col>17</xdr:col>
          <xdr:colOff>431800</xdr:colOff>
          <xdr:row>72</xdr:row>
          <xdr:rowOff>0</xdr:rowOff>
        </xdr:to>
        <xdr:sp macro="" textlink="">
          <xdr:nvSpPr>
            <xdr:cNvPr id="8292" name="Check Box 100" hidden="1">
              <a:extLst>
                <a:ext uri="{63B3BB69-23CF-44E3-9099-C40C66FF867C}">
                  <a14:compatExt spid="_x0000_s8292"/>
                </a:ext>
                <a:ext uri="{FF2B5EF4-FFF2-40B4-BE49-F238E27FC236}">
                  <a16:creationId xmlns:a16="http://schemas.microsoft.com/office/drawing/2014/main" id="{00000000-0008-0000-0700-00006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71</xdr:row>
          <xdr:rowOff>0</xdr:rowOff>
        </xdr:from>
        <xdr:to>
          <xdr:col>18</xdr:col>
          <xdr:colOff>431800</xdr:colOff>
          <xdr:row>72</xdr:row>
          <xdr:rowOff>0</xdr:rowOff>
        </xdr:to>
        <xdr:sp macro="" textlink="">
          <xdr:nvSpPr>
            <xdr:cNvPr id="8293" name="Check Box 101" hidden="1">
              <a:extLst>
                <a:ext uri="{63B3BB69-23CF-44E3-9099-C40C66FF867C}">
                  <a14:compatExt spid="_x0000_s8293"/>
                </a:ext>
                <a:ext uri="{FF2B5EF4-FFF2-40B4-BE49-F238E27FC236}">
                  <a16:creationId xmlns:a16="http://schemas.microsoft.com/office/drawing/2014/main" id="{00000000-0008-0000-0700-00006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71</xdr:row>
          <xdr:rowOff>0</xdr:rowOff>
        </xdr:from>
        <xdr:to>
          <xdr:col>19</xdr:col>
          <xdr:colOff>431800</xdr:colOff>
          <xdr:row>72</xdr:row>
          <xdr:rowOff>0</xdr:rowOff>
        </xdr:to>
        <xdr:sp macro="" textlink="">
          <xdr:nvSpPr>
            <xdr:cNvPr id="8294" name="Check Box 102" hidden="1">
              <a:extLst>
                <a:ext uri="{63B3BB69-23CF-44E3-9099-C40C66FF867C}">
                  <a14:compatExt spid="_x0000_s8294"/>
                </a:ext>
                <a:ext uri="{FF2B5EF4-FFF2-40B4-BE49-F238E27FC236}">
                  <a16:creationId xmlns:a16="http://schemas.microsoft.com/office/drawing/2014/main" id="{00000000-0008-0000-0700-00006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72</xdr:row>
          <xdr:rowOff>0</xdr:rowOff>
        </xdr:from>
        <xdr:to>
          <xdr:col>17</xdr:col>
          <xdr:colOff>431800</xdr:colOff>
          <xdr:row>73</xdr:row>
          <xdr:rowOff>0</xdr:rowOff>
        </xdr:to>
        <xdr:sp macro="" textlink="">
          <xdr:nvSpPr>
            <xdr:cNvPr id="8295" name="Check Box 103" hidden="1">
              <a:extLst>
                <a:ext uri="{63B3BB69-23CF-44E3-9099-C40C66FF867C}">
                  <a14:compatExt spid="_x0000_s8295"/>
                </a:ext>
                <a:ext uri="{FF2B5EF4-FFF2-40B4-BE49-F238E27FC236}">
                  <a16:creationId xmlns:a16="http://schemas.microsoft.com/office/drawing/2014/main" id="{00000000-0008-0000-0700-00006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72</xdr:row>
          <xdr:rowOff>0</xdr:rowOff>
        </xdr:from>
        <xdr:to>
          <xdr:col>18</xdr:col>
          <xdr:colOff>431800</xdr:colOff>
          <xdr:row>73</xdr:row>
          <xdr:rowOff>0</xdr:rowOff>
        </xdr:to>
        <xdr:sp macro="" textlink="">
          <xdr:nvSpPr>
            <xdr:cNvPr id="8296" name="Check Box 104" hidden="1">
              <a:extLst>
                <a:ext uri="{63B3BB69-23CF-44E3-9099-C40C66FF867C}">
                  <a14:compatExt spid="_x0000_s8296"/>
                </a:ext>
                <a:ext uri="{FF2B5EF4-FFF2-40B4-BE49-F238E27FC236}">
                  <a16:creationId xmlns:a16="http://schemas.microsoft.com/office/drawing/2014/main" id="{00000000-0008-0000-0700-00006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72</xdr:row>
          <xdr:rowOff>0</xdr:rowOff>
        </xdr:from>
        <xdr:to>
          <xdr:col>19</xdr:col>
          <xdr:colOff>431800</xdr:colOff>
          <xdr:row>73</xdr:row>
          <xdr:rowOff>0</xdr:rowOff>
        </xdr:to>
        <xdr:sp macro="" textlink="">
          <xdr:nvSpPr>
            <xdr:cNvPr id="8297" name="Check Box 105" hidden="1">
              <a:extLst>
                <a:ext uri="{63B3BB69-23CF-44E3-9099-C40C66FF867C}">
                  <a14:compatExt spid="_x0000_s8297"/>
                </a:ext>
                <a:ext uri="{FF2B5EF4-FFF2-40B4-BE49-F238E27FC236}">
                  <a16:creationId xmlns:a16="http://schemas.microsoft.com/office/drawing/2014/main" id="{00000000-0008-0000-0700-00006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73</xdr:row>
          <xdr:rowOff>0</xdr:rowOff>
        </xdr:from>
        <xdr:to>
          <xdr:col>17</xdr:col>
          <xdr:colOff>431800</xdr:colOff>
          <xdr:row>74</xdr:row>
          <xdr:rowOff>0</xdr:rowOff>
        </xdr:to>
        <xdr:sp macro="" textlink="">
          <xdr:nvSpPr>
            <xdr:cNvPr id="8298" name="Check Box 106" hidden="1">
              <a:extLst>
                <a:ext uri="{63B3BB69-23CF-44E3-9099-C40C66FF867C}">
                  <a14:compatExt spid="_x0000_s8298"/>
                </a:ext>
                <a:ext uri="{FF2B5EF4-FFF2-40B4-BE49-F238E27FC236}">
                  <a16:creationId xmlns:a16="http://schemas.microsoft.com/office/drawing/2014/main" id="{00000000-0008-0000-0700-00006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73</xdr:row>
          <xdr:rowOff>0</xdr:rowOff>
        </xdr:from>
        <xdr:to>
          <xdr:col>18</xdr:col>
          <xdr:colOff>431800</xdr:colOff>
          <xdr:row>74</xdr:row>
          <xdr:rowOff>0</xdr:rowOff>
        </xdr:to>
        <xdr:sp macro="" textlink="">
          <xdr:nvSpPr>
            <xdr:cNvPr id="8299" name="Check Box 107" hidden="1">
              <a:extLst>
                <a:ext uri="{63B3BB69-23CF-44E3-9099-C40C66FF867C}">
                  <a14:compatExt spid="_x0000_s8299"/>
                </a:ext>
                <a:ext uri="{FF2B5EF4-FFF2-40B4-BE49-F238E27FC236}">
                  <a16:creationId xmlns:a16="http://schemas.microsoft.com/office/drawing/2014/main" id="{00000000-0008-0000-0700-00006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73</xdr:row>
          <xdr:rowOff>0</xdr:rowOff>
        </xdr:from>
        <xdr:to>
          <xdr:col>19</xdr:col>
          <xdr:colOff>431800</xdr:colOff>
          <xdr:row>74</xdr:row>
          <xdr:rowOff>0</xdr:rowOff>
        </xdr:to>
        <xdr:sp macro="" textlink="">
          <xdr:nvSpPr>
            <xdr:cNvPr id="8300" name="Check Box 108" hidden="1">
              <a:extLst>
                <a:ext uri="{63B3BB69-23CF-44E3-9099-C40C66FF867C}">
                  <a14:compatExt spid="_x0000_s8300"/>
                </a:ext>
                <a:ext uri="{FF2B5EF4-FFF2-40B4-BE49-F238E27FC236}">
                  <a16:creationId xmlns:a16="http://schemas.microsoft.com/office/drawing/2014/main" id="{00000000-0008-0000-0700-00006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74</xdr:row>
          <xdr:rowOff>0</xdr:rowOff>
        </xdr:from>
        <xdr:to>
          <xdr:col>17</xdr:col>
          <xdr:colOff>431800</xdr:colOff>
          <xdr:row>75</xdr:row>
          <xdr:rowOff>0</xdr:rowOff>
        </xdr:to>
        <xdr:sp macro="" textlink="">
          <xdr:nvSpPr>
            <xdr:cNvPr id="8301" name="Check Box 109" hidden="1">
              <a:extLst>
                <a:ext uri="{63B3BB69-23CF-44E3-9099-C40C66FF867C}">
                  <a14:compatExt spid="_x0000_s8301"/>
                </a:ext>
                <a:ext uri="{FF2B5EF4-FFF2-40B4-BE49-F238E27FC236}">
                  <a16:creationId xmlns:a16="http://schemas.microsoft.com/office/drawing/2014/main" id="{00000000-0008-0000-0700-00006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74</xdr:row>
          <xdr:rowOff>0</xdr:rowOff>
        </xdr:from>
        <xdr:to>
          <xdr:col>18</xdr:col>
          <xdr:colOff>431800</xdr:colOff>
          <xdr:row>75</xdr:row>
          <xdr:rowOff>0</xdr:rowOff>
        </xdr:to>
        <xdr:sp macro="" textlink="">
          <xdr:nvSpPr>
            <xdr:cNvPr id="8302" name="Check Box 110" hidden="1">
              <a:extLst>
                <a:ext uri="{63B3BB69-23CF-44E3-9099-C40C66FF867C}">
                  <a14:compatExt spid="_x0000_s8302"/>
                </a:ext>
                <a:ext uri="{FF2B5EF4-FFF2-40B4-BE49-F238E27FC236}">
                  <a16:creationId xmlns:a16="http://schemas.microsoft.com/office/drawing/2014/main" id="{00000000-0008-0000-0700-00006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74</xdr:row>
          <xdr:rowOff>0</xdr:rowOff>
        </xdr:from>
        <xdr:to>
          <xdr:col>19</xdr:col>
          <xdr:colOff>431800</xdr:colOff>
          <xdr:row>75</xdr:row>
          <xdr:rowOff>0</xdr:rowOff>
        </xdr:to>
        <xdr:sp macro="" textlink="">
          <xdr:nvSpPr>
            <xdr:cNvPr id="8303" name="Check Box 111" hidden="1">
              <a:extLst>
                <a:ext uri="{63B3BB69-23CF-44E3-9099-C40C66FF867C}">
                  <a14:compatExt spid="_x0000_s8303"/>
                </a:ext>
                <a:ext uri="{FF2B5EF4-FFF2-40B4-BE49-F238E27FC236}">
                  <a16:creationId xmlns:a16="http://schemas.microsoft.com/office/drawing/2014/main" id="{00000000-0008-0000-0700-00006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75</xdr:row>
          <xdr:rowOff>0</xdr:rowOff>
        </xdr:from>
        <xdr:to>
          <xdr:col>17</xdr:col>
          <xdr:colOff>431800</xdr:colOff>
          <xdr:row>76</xdr:row>
          <xdr:rowOff>0</xdr:rowOff>
        </xdr:to>
        <xdr:sp macro="" textlink="">
          <xdr:nvSpPr>
            <xdr:cNvPr id="8304" name="Check Box 112" hidden="1">
              <a:extLst>
                <a:ext uri="{63B3BB69-23CF-44E3-9099-C40C66FF867C}">
                  <a14:compatExt spid="_x0000_s8304"/>
                </a:ext>
                <a:ext uri="{FF2B5EF4-FFF2-40B4-BE49-F238E27FC236}">
                  <a16:creationId xmlns:a16="http://schemas.microsoft.com/office/drawing/2014/main" id="{00000000-0008-0000-0700-00007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75</xdr:row>
          <xdr:rowOff>0</xdr:rowOff>
        </xdr:from>
        <xdr:to>
          <xdr:col>18</xdr:col>
          <xdr:colOff>431800</xdr:colOff>
          <xdr:row>76</xdr:row>
          <xdr:rowOff>0</xdr:rowOff>
        </xdr:to>
        <xdr:sp macro="" textlink="">
          <xdr:nvSpPr>
            <xdr:cNvPr id="8305" name="Check Box 113" hidden="1">
              <a:extLst>
                <a:ext uri="{63B3BB69-23CF-44E3-9099-C40C66FF867C}">
                  <a14:compatExt spid="_x0000_s8305"/>
                </a:ext>
                <a:ext uri="{FF2B5EF4-FFF2-40B4-BE49-F238E27FC236}">
                  <a16:creationId xmlns:a16="http://schemas.microsoft.com/office/drawing/2014/main" id="{00000000-0008-0000-0700-00007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75</xdr:row>
          <xdr:rowOff>0</xdr:rowOff>
        </xdr:from>
        <xdr:to>
          <xdr:col>19</xdr:col>
          <xdr:colOff>431800</xdr:colOff>
          <xdr:row>76</xdr:row>
          <xdr:rowOff>0</xdr:rowOff>
        </xdr:to>
        <xdr:sp macro="" textlink="">
          <xdr:nvSpPr>
            <xdr:cNvPr id="8306" name="Check Box 114" hidden="1">
              <a:extLst>
                <a:ext uri="{63B3BB69-23CF-44E3-9099-C40C66FF867C}">
                  <a14:compatExt spid="_x0000_s8306"/>
                </a:ext>
                <a:ext uri="{FF2B5EF4-FFF2-40B4-BE49-F238E27FC236}">
                  <a16:creationId xmlns:a16="http://schemas.microsoft.com/office/drawing/2014/main" id="{00000000-0008-0000-0700-00007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79</xdr:row>
          <xdr:rowOff>0</xdr:rowOff>
        </xdr:from>
        <xdr:to>
          <xdr:col>17</xdr:col>
          <xdr:colOff>431800</xdr:colOff>
          <xdr:row>80</xdr:row>
          <xdr:rowOff>0</xdr:rowOff>
        </xdr:to>
        <xdr:sp macro="" textlink="">
          <xdr:nvSpPr>
            <xdr:cNvPr id="8307" name="Check Box 115" hidden="1">
              <a:extLst>
                <a:ext uri="{63B3BB69-23CF-44E3-9099-C40C66FF867C}">
                  <a14:compatExt spid="_x0000_s8307"/>
                </a:ext>
                <a:ext uri="{FF2B5EF4-FFF2-40B4-BE49-F238E27FC236}">
                  <a16:creationId xmlns:a16="http://schemas.microsoft.com/office/drawing/2014/main" id="{00000000-0008-0000-0700-00007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79</xdr:row>
          <xdr:rowOff>0</xdr:rowOff>
        </xdr:from>
        <xdr:to>
          <xdr:col>18</xdr:col>
          <xdr:colOff>431800</xdr:colOff>
          <xdr:row>80</xdr:row>
          <xdr:rowOff>0</xdr:rowOff>
        </xdr:to>
        <xdr:sp macro="" textlink="">
          <xdr:nvSpPr>
            <xdr:cNvPr id="8308" name="Check Box 116" hidden="1">
              <a:extLst>
                <a:ext uri="{63B3BB69-23CF-44E3-9099-C40C66FF867C}">
                  <a14:compatExt spid="_x0000_s8308"/>
                </a:ext>
                <a:ext uri="{FF2B5EF4-FFF2-40B4-BE49-F238E27FC236}">
                  <a16:creationId xmlns:a16="http://schemas.microsoft.com/office/drawing/2014/main" id="{00000000-0008-0000-0700-00007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79</xdr:row>
          <xdr:rowOff>0</xdr:rowOff>
        </xdr:from>
        <xdr:to>
          <xdr:col>19</xdr:col>
          <xdr:colOff>431800</xdr:colOff>
          <xdr:row>80</xdr:row>
          <xdr:rowOff>0</xdr:rowOff>
        </xdr:to>
        <xdr:sp macro="" textlink="">
          <xdr:nvSpPr>
            <xdr:cNvPr id="8309" name="Check Box 117" hidden="1">
              <a:extLst>
                <a:ext uri="{63B3BB69-23CF-44E3-9099-C40C66FF867C}">
                  <a14:compatExt spid="_x0000_s8309"/>
                </a:ext>
                <a:ext uri="{FF2B5EF4-FFF2-40B4-BE49-F238E27FC236}">
                  <a16:creationId xmlns:a16="http://schemas.microsoft.com/office/drawing/2014/main" id="{00000000-0008-0000-0700-00007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80</xdr:row>
          <xdr:rowOff>0</xdr:rowOff>
        </xdr:from>
        <xdr:to>
          <xdr:col>17</xdr:col>
          <xdr:colOff>431800</xdr:colOff>
          <xdr:row>81</xdr:row>
          <xdr:rowOff>0</xdr:rowOff>
        </xdr:to>
        <xdr:sp macro="" textlink="">
          <xdr:nvSpPr>
            <xdr:cNvPr id="8310" name="Check Box 118" hidden="1">
              <a:extLst>
                <a:ext uri="{63B3BB69-23CF-44E3-9099-C40C66FF867C}">
                  <a14:compatExt spid="_x0000_s8310"/>
                </a:ext>
                <a:ext uri="{FF2B5EF4-FFF2-40B4-BE49-F238E27FC236}">
                  <a16:creationId xmlns:a16="http://schemas.microsoft.com/office/drawing/2014/main" id="{00000000-0008-0000-0700-00007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80</xdr:row>
          <xdr:rowOff>0</xdr:rowOff>
        </xdr:from>
        <xdr:to>
          <xdr:col>18</xdr:col>
          <xdr:colOff>431800</xdr:colOff>
          <xdr:row>81</xdr:row>
          <xdr:rowOff>0</xdr:rowOff>
        </xdr:to>
        <xdr:sp macro="" textlink="">
          <xdr:nvSpPr>
            <xdr:cNvPr id="8311" name="Check Box 119" hidden="1">
              <a:extLst>
                <a:ext uri="{63B3BB69-23CF-44E3-9099-C40C66FF867C}">
                  <a14:compatExt spid="_x0000_s8311"/>
                </a:ext>
                <a:ext uri="{FF2B5EF4-FFF2-40B4-BE49-F238E27FC236}">
                  <a16:creationId xmlns:a16="http://schemas.microsoft.com/office/drawing/2014/main" id="{00000000-0008-0000-0700-00007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80</xdr:row>
          <xdr:rowOff>0</xdr:rowOff>
        </xdr:from>
        <xdr:to>
          <xdr:col>19</xdr:col>
          <xdr:colOff>431800</xdr:colOff>
          <xdr:row>81</xdr:row>
          <xdr:rowOff>0</xdr:rowOff>
        </xdr:to>
        <xdr:sp macro="" textlink="">
          <xdr:nvSpPr>
            <xdr:cNvPr id="8312" name="Check Box 120" hidden="1">
              <a:extLst>
                <a:ext uri="{63B3BB69-23CF-44E3-9099-C40C66FF867C}">
                  <a14:compatExt spid="_x0000_s8312"/>
                </a:ext>
                <a:ext uri="{FF2B5EF4-FFF2-40B4-BE49-F238E27FC236}">
                  <a16:creationId xmlns:a16="http://schemas.microsoft.com/office/drawing/2014/main" id="{00000000-0008-0000-0700-00007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81</xdr:row>
          <xdr:rowOff>0</xdr:rowOff>
        </xdr:from>
        <xdr:to>
          <xdr:col>17</xdr:col>
          <xdr:colOff>431800</xdr:colOff>
          <xdr:row>82</xdr:row>
          <xdr:rowOff>0</xdr:rowOff>
        </xdr:to>
        <xdr:sp macro="" textlink="">
          <xdr:nvSpPr>
            <xdr:cNvPr id="8313" name="Check Box 121" hidden="1">
              <a:extLst>
                <a:ext uri="{63B3BB69-23CF-44E3-9099-C40C66FF867C}">
                  <a14:compatExt spid="_x0000_s8313"/>
                </a:ext>
                <a:ext uri="{FF2B5EF4-FFF2-40B4-BE49-F238E27FC236}">
                  <a16:creationId xmlns:a16="http://schemas.microsoft.com/office/drawing/2014/main" id="{00000000-0008-0000-0700-00007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81</xdr:row>
          <xdr:rowOff>0</xdr:rowOff>
        </xdr:from>
        <xdr:to>
          <xdr:col>18</xdr:col>
          <xdr:colOff>431800</xdr:colOff>
          <xdr:row>82</xdr:row>
          <xdr:rowOff>0</xdr:rowOff>
        </xdr:to>
        <xdr:sp macro="" textlink="">
          <xdr:nvSpPr>
            <xdr:cNvPr id="8314" name="Check Box 122" hidden="1">
              <a:extLst>
                <a:ext uri="{63B3BB69-23CF-44E3-9099-C40C66FF867C}">
                  <a14:compatExt spid="_x0000_s8314"/>
                </a:ext>
                <a:ext uri="{FF2B5EF4-FFF2-40B4-BE49-F238E27FC236}">
                  <a16:creationId xmlns:a16="http://schemas.microsoft.com/office/drawing/2014/main" id="{00000000-0008-0000-0700-00007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81</xdr:row>
          <xdr:rowOff>0</xdr:rowOff>
        </xdr:from>
        <xdr:to>
          <xdr:col>19</xdr:col>
          <xdr:colOff>431800</xdr:colOff>
          <xdr:row>82</xdr:row>
          <xdr:rowOff>0</xdr:rowOff>
        </xdr:to>
        <xdr:sp macro="" textlink="">
          <xdr:nvSpPr>
            <xdr:cNvPr id="8315" name="Check Box 123" hidden="1">
              <a:extLst>
                <a:ext uri="{63B3BB69-23CF-44E3-9099-C40C66FF867C}">
                  <a14:compatExt spid="_x0000_s8315"/>
                </a:ext>
                <a:ext uri="{FF2B5EF4-FFF2-40B4-BE49-F238E27FC236}">
                  <a16:creationId xmlns:a16="http://schemas.microsoft.com/office/drawing/2014/main" id="{00000000-0008-0000-0700-00007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82</xdr:row>
          <xdr:rowOff>0</xdr:rowOff>
        </xdr:from>
        <xdr:to>
          <xdr:col>17</xdr:col>
          <xdr:colOff>431800</xdr:colOff>
          <xdr:row>83</xdr:row>
          <xdr:rowOff>0</xdr:rowOff>
        </xdr:to>
        <xdr:sp macro="" textlink="">
          <xdr:nvSpPr>
            <xdr:cNvPr id="8316" name="Check Box 124" hidden="1">
              <a:extLst>
                <a:ext uri="{63B3BB69-23CF-44E3-9099-C40C66FF867C}">
                  <a14:compatExt spid="_x0000_s8316"/>
                </a:ext>
                <a:ext uri="{FF2B5EF4-FFF2-40B4-BE49-F238E27FC236}">
                  <a16:creationId xmlns:a16="http://schemas.microsoft.com/office/drawing/2014/main" id="{00000000-0008-0000-0700-00007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82</xdr:row>
          <xdr:rowOff>0</xdr:rowOff>
        </xdr:from>
        <xdr:to>
          <xdr:col>18</xdr:col>
          <xdr:colOff>431800</xdr:colOff>
          <xdr:row>83</xdr:row>
          <xdr:rowOff>0</xdr:rowOff>
        </xdr:to>
        <xdr:sp macro="" textlink="">
          <xdr:nvSpPr>
            <xdr:cNvPr id="8317" name="Check Box 125" hidden="1">
              <a:extLst>
                <a:ext uri="{63B3BB69-23CF-44E3-9099-C40C66FF867C}">
                  <a14:compatExt spid="_x0000_s8317"/>
                </a:ext>
                <a:ext uri="{FF2B5EF4-FFF2-40B4-BE49-F238E27FC236}">
                  <a16:creationId xmlns:a16="http://schemas.microsoft.com/office/drawing/2014/main" id="{00000000-0008-0000-0700-00007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82</xdr:row>
          <xdr:rowOff>0</xdr:rowOff>
        </xdr:from>
        <xdr:to>
          <xdr:col>19</xdr:col>
          <xdr:colOff>431800</xdr:colOff>
          <xdr:row>83</xdr:row>
          <xdr:rowOff>0</xdr:rowOff>
        </xdr:to>
        <xdr:sp macro="" textlink="">
          <xdr:nvSpPr>
            <xdr:cNvPr id="8318" name="Check Box 126" hidden="1">
              <a:extLst>
                <a:ext uri="{63B3BB69-23CF-44E3-9099-C40C66FF867C}">
                  <a14:compatExt spid="_x0000_s8318"/>
                </a:ext>
                <a:ext uri="{FF2B5EF4-FFF2-40B4-BE49-F238E27FC236}">
                  <a16:creationId xmlns:a16="http://schemas.microsoft.com/office/drawing/2014/main" id="{00000000-0008-0000-0700-00007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83</xdr:row>
          <xdr:rowOff>0</xdr:rowOff>
        </xdr:from>
        <xdr:to>
          <xdr:col>17</xdr:col>
          <xdr:colOff>431800</xdr:colOff>
          <xdr:row>84</xdr:row>
          <xdr:rowOff>0</xdr:rowOff>
        </xdr:to>
        <xdr:sp macro="" textlink="">
          <xdr:nvSpPr>
            <xdr:cNvPr id="8319" name="Check Box 127" hidden="1">
              <a:extLst>
                <a:ext uri="{63B3BB69-23CF-44E3-9099-C40C66FF867C}">
                  <a14:compatExt spid="_x0000_s8319"/>
                </a:ext>
                <a:ext uri="{FF2B5EF4-FFF2-40B4-BE49-F238E27FC236}">
                  <a16:creationId xmlns:a16="http://schemas.microsoft.com/office/drawing/2014/main" id="{00000000-0008-0000-0700-00007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83</xdr:row>
          <xdr:rowOff>0</xdr:rowOff>
        </xdr:from>
        <xdr:to>
          <xdr:col>18</xdr:col>
          <xdr:colOff>431800</xdr:colOff>
          <xdr:row>84</xdr:row>
          <xdr:rowOff>0</xdr:rowOff>
        </xdr:to>
        <xdr:sp macro="" textlink="">
          <xdr:nvSpPr>
            <xdr:cNvPr id="8320" name="Check Box 128" hidden="1">
              <a:extLst>
                <a:ext uri="{63B3BB69-23CF-44E3-9099-C40C66FF867C}">
                  <a14:compatExt spid="_x0000_s8320"/>
                </a:ext>
                <a:ext uri="{FF2B5EF4-FFF2-40B4-BE49-F238E27FC236}">
                  <a16:creationId xmlns:a16="http://schemas.microsoft.com/office/drawing/2014/main" id="{00000000-0008-0000-0700-00008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83</xdr:row>
          <xdr:rowOff>0</xdr:rowOff>
        </xdr:from>
        <xdr:to>
          <xdr:col>19</xdr:col>
          <xdr:colOff>431800</xdr:colOff>
          <xdr:row>84</xdr:row>
          <xdr:rowOff>0</xdr:rowOff>
        </xdr:to>
        <xdr:sp macro="" textlink="">
          <xdr:nvSpPr>
            <xdr:cNvPr id="8321" name="Check Box 129" hidden="1">
              <a:extLst>
                <a:ext uri="{63B3BB69-23CF-44E3-9099-C40C66FF867C}">
                  <a14:compatExt spid="_x0000_s8321"/>
                </a:ext>
                <a:ext uri="{FF2B5EF4-FFF2-40B4-BE49-F238E27FC236}">
                  <a16:creationId xmlns:a16="http://schemas.microsoft.com/office/drawing/2014/main" id="{00000000-0008-0000-0700-00008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84</xdr:row>
          <xdr:rowOff>0</xdr:rowOff>
        </xdr:from>
        <xdr:to>
          <xdr:col>17</xdr:col>
          <xdr:colOff>431800</xdr:colOff>
          <xdr:row>85</xdr:row>
          <xdr:rowOff>0</xdr:rowOff>
        </xdr:to>
        <xdr:sp macro="" textlink="">
          <xdr:nvSpPr>
            <xdr:cNvPr id="8322" name="Check Box 130" hidden="1">
              <a:extLst>
                <a:ext uri="{63B3BB69-23CF-44E3-9099-C40C66FF867C}">
                  <a14:compatExt spid="_x0000_s8322"/>
                </a:ext>
                <a:ext uri="{FF2B5EF4-FFF2-40B4-BE49-F238E27FC236}">
                  <a16:creationId xmlns:a16="http://schemas.microsoft.com/office/drawing/2014/main" id="{00000000-0008-0000-0700-00008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84</xdr:row>
          <xdr:rowOff>0</xdr:rowOff>
        </xdr:from>
        <xdr:to>
          <xdr:col>18</xdr:col>
          <xdr:colOff>431800</xdr:colOff>
          <xdr:row>85</xdr:row>
          <xdr:rowOff>0</xdr:rowOff>
        </xdr:to>
        <xdr:sp macro="" textlink="">
          <xdr:nvSpPr>
            <xdr:cNvPr id="8323" name="Check Box 131" hidden="1">
              <a:extLst>
                <a:ext uri="{63B3BB69-23CF-44E3-9099-C40C66FF867C}">
                  <a14:compatExt spid="_x0000_s8323"/>
                </a:ext>
                <a:ext uri="{FF2B5EF4-FFF2-40B4-BE49-F238E27FC236}">
                  <a16:creationId xmlns:a16="http://schemas.microsoft.com/office/drawing/2014/main" id="{00000000-0008-0000-0700-00008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84</xdr:row>
          <xdr:rowOff>0</xdr:rowOff>
        </xdr:from>
        <xdr:to>
          <xdr:col>19</xdr:col>
          <xdr:colOff>431800</xdr:colOff>
          <xdr:row>85</xdr:row>
          <xdr:rowOff>0</xdr:rowOff>
        </xdr:to>
        <xdr:sp macro="" textlink="">
          <xdr:nvSpPr>
            <xdr:cNvPr id="8324" name="Check Box 132" hidden="1">
              <a:extLst>
                <a:ext uri="{63B3BB69-23CF-44E3-9099-C40C66FF867C}">
                  <a14:compatExt spid="_x0000_s8324"/>
                </a:ext>
                <a:ext uri="{FF2B5EF4-FFF2-40B4-BE49-F238E27FC236}">
                  <a16:creationId xmlns:a16="http://schemas.microsoft.com/office/drawing/2014/main" id="{00000000-0008-0000-0700-00008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32</xdr:row>
          <xdr:rowOff>0</xdr:rowOff>
        </xdr:from>
        <xdr:to>
          <xdr:col>17</xdr:col>
          <xdr:colOff>431800</xdr:colOff>
          <xdr:row>33</xdr:row>
          <xdr:rowOff>0</xdr:rowOff>
        </xdr:to>
        <xdr:sp macro="" textlink="">
          <xdr:nvSpPr>
            <xdr:cNvPr id="8334" name="Check Box 142" hidden="1">
              <a:extLst>
                <a:ext uri="{63B3BB69-23CF-44E3-9099-C40C66FF867C}">
                  <a14:compatExt spid="_x0000_s8334"/>
                </a:ext>
                <a:ext uri="{FF2B5EF4-FFF2-40B4-BE49-F238E27FC236}">
                  <a16:creationId xmlns:a16="http://schemas.microsoft.com/office/drawing/2014/main" id="{00000000-0008-0000-0700-00008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32</xdr:row>
          <xdr:rowOff>0</xdr:rowOff>
        </xdr:from>
        <xdr:to>
          <xdr:col>18</xdr:col>
          <xdr:colOff>431800</xdr:colOff>
          <xdr:row>33</xdr:row>
          <xdr:rowOff>0</xdr:rowOff>
        </xdr:to>
        <xdr:sp macro="" textlink="">
          <xdr:nvSpPr>
            <xdr:cNvPr id="8335" name="Check Box 143" hidden="1">
              <a:extLst>
                <a:ext uri="{63B3BB69-23CF-44E3-9099-C40C66FF867C}">
                  <a14:compatExt spid="_x0000_s8335"/>
                </a:ext>
                <a:ext uri="{FF2B5EF4-FFF2-40B4-BE49-F238E27FC236}">
                  <a16:creationId xmlns:a16="http://schemas.microsoft.com/office/drawing/2014/main" id="{00000000-0008-0000-0700-00008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32</xdr:row>
          <xdr:rowOff>0</xdr:rowOff>
        </xdr:from>
        <xdr:to>
          <xdr:col>19</xdr:col>
          <xdr:colOff>431800</xdr:colOff>
          <xdr:row>33</xdr:row>
          <xdr:rowOff>0</xdr:rowOff>
        </xdr:to>
        <xdr:sp macro="" textlink="">
          <xdr:nvSpPr>
            <xdr:cNvPr id="8336" name="Check Box 144" hidden="1">
              <a:extLst>
                <a:ext uri="{63B3BB69-23CF-44E3-9099-C40C66FF867C}">
                  <a14:compatExt spid="_x0000_s8336"/>
                </a:ext>
                <a:ext uri="{FF2B5EF4-FFF2-40B4-BE49-F238E27FC236}">
                  <a16:creationId xmlns:a16="http://schemas.microsoft.com/office/drawing/2014/main" id="{00000000-0008-0000-0700-00009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absolute">
    <xdr:from>
      <xdr:col>2</xdr:col>
      <xdr:colOff>0</xdr:colOff>
      <xdr:row>0</xdr:row>
      <xdr:rowOff>205932</xdr:rowOff>
    </xdr:from>
    <xdr:to>
      <xdr:col>16</xdr:col>
      <xdr:colOff>631422</xdr:colOff>
      <xdr:row>1</xdr:row>
      <xdr:rowOff>0</xdr:rowOff>
    </xdr:to>
    <xdr:grpSp>
      <xdr:nvGrpSpPr>
        <xdr:cNvPr id="20" name="Navbar E2">
          <a:extLst>
            <a:ext uri="{FF2B5EF4-FFF2-40B4-BE49-F238E27FC236}">
              <a16:creationId xmlns:a16="http://schemas.microsoft.com/office/drawing/2014/main" id="{00000000-0008-0000-0700-000014000000}"/>
            </a:ext>
          </a:extLst>
        </xdr:cNvPr>
        <xdr:cNvGrpSpPr/>
      </xdr:nvGrpSpPr>
      <xdr:grpSpPr>
        <a:xfrm>
          <a:off x="406400" y="205932"/>
          <a:ext cx="10943822" cy="263968"/>
          <a:chOff x="755431" y="888544"/>
          <a:chExt cx="9699641" cy="268599"/>
        </a:xfrm>
      </xdr:grpSpPr>
      <xdr:sp macro="" textlink="">
        <xdr:nvSpPr>
          <xdr:cNvPr id="22" name="0 Home-Button">
            <a:hlinkClick xmlns:r="http://schemas.openxmlformats.org/officeDocument/2006/relationships" r:id="rId8" tooltip="Klicken, um zur Startseite zu gelangen."/>
            <a:extLst>
              <a:ext uri="{FF2B5EF4-FFF2-40B4-BE49-F238E27FC236}">
                <a16:creationId xmlns:a16="http://schemas.microsoft.com/office/drawing/2014/main" id="{00000000-0008-0000-0700-000016000000}"/>
              </a:ext>
            </a:extLst>
          </xdr:cNvPr>
          <xdr:cNvSpPr/>
        </xdr:nvSpPr>
        <xdr:spPr>
          <a:xfrm>
            <a:off x="755431" y="888544"/>
            <a:ext cx="1958574"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24" name="Home-Button">
            <a:hlinkClick xmlns:r="http://schemas.openxmlformats.org/officeDocument/2006/relationships" r:id="rId8" tooltip="Klicken, um zur Startseite zu gelangen."/>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9"/>
          <a:srcRect/>
          <a:stretch/>
        </xdr:blipFill>
        <xdr:spPr>
          <a:xfrm>
            <a:off x="847380" y="945808"/>
            <a:ext cx="215823" cy="173413"/>
          </a:xfrm>
          <a:prstGeom prst="rect">
            <a:avLst/>
          </a:prstGeom>
        </xdr:spPr>
      </xdr:pic>
      <xdr:sp macro="" textlink="">
        <xdr:nvSpPr>
          <xdr:cNvPr id="25" name="00 Bestansaufnahme">
            <a:hlinkClick xmlns:r="http://schemas.openxmlformats.org/officeDocument/2006/relationships" r:id="rId10" tooltip="Klicken, um zur Seite &quot;Zählung Bestand&quot; zu gelangen."/>
            <a:extLst>
              <a:ext uri="{FF2B5EF4-FFF2-40B4-BE49-F238E27FC236}">
                <a16:creationId xmlns:a16="http://schemas.microsoft.com/office/drawing/2014/main" id="{00000000-0008-0000-0700-000019000000}"/>
              </a:ext>
            </a:extLst>
          </xdr:cNvPr>
          <xdr:cNvSpPr/>
        </xdr:nvSpPr>
        <xdr:spPr>
          <a:xfrm>
            <a:off x="1137655" y="888544"/>
            <a:ext cx="1957033"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26" name="123 Bestandsaufnahme">
            <a:hlinkClick xmlns:r="http://schemas.openxmlformats.org/officeDocument/2006/relationships" r:id="rId10" tooltip="Klicken, um zur Seite &quot;Zählung Bestand&quot; zu gelangen."/>
            <a:extLst>
              <a:ext uri="{FF2B5EF4-FFF2-40B4-BE49-F238E27FC236}">
                <a16:creationId xmlns:a16="http://schemas.microsoft.com/office/drawing/2014/main" id="{00000000-0008-0000-0700-00001A000000}"/>
              </a:ext>
            </a:extLst>
          </xdr:cNvPr>
          <xdr:cNvSpPr txBox="1"/>
        </xdr:nvSpPr>
        <xdr:spPr>
          <a:xfrm>
            <a:off x="1182893" y="941993"/>
            <a:ext cx="279447"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27" name="A Bestandseingabe">
            <a:hlinkClick xmlns:r="http://schemas.openxmlformats.org/officeDocument/2006/relationships" r:id="rId11" tooltip="Klicken, um zu Teil A zu gelangen."/>
            <a:extLst>
              <a:ext uri="{FF2B5EF4-FFF2-40B4-BE49-F238E27FC236}">
                <a16:creationId xmlns:a16="http://schemas.microsoft.com/office/drawing/2014/main" id="{00000000-0008-0000-0700-00001B000000}"/>
              </a:ext>
            </a:extLst>
          </xdr:cNvPr>
          <xdr:cNvSpPr/>
        </xdr:nvSpPr>
        <xdr:spPr>
          <a:xfrm>
            <a:off x="1493335" y="888544"/>
            <a:ext cx="1847552"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28" name="B Parametereingabe">
            <a:hlinkClick xmlns:r="http://schemas.openxmlformats.org/officeDocument/2006/relationships" r:id="rId12" tooltip="Klicken, um zu Teil B zu gelangen."/>
            <a:extLst>
              <a:ext uri="{FF2B5EF4-FFF2-40B4-BE49-F238E27FC236}">
                <a16:creationId xmlns:a16="http://schemas.microsoft.com/office/drawing/2014/main" id="{00000000-0008-0000-0700-00001C000000}"/>
              </a:ext>
            </a:extLst>
          </xdr:cNvPr>
          <xdr:cNvSpPr/>
        </xdr:nvSpPr>
        <xdr:spPr>
          <a:xfrm>
            <a:off x="3001182" y="888544"/>
            <a:ext cx="1991608"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29" name="C Ergebnisjustierung">
            <a:hlinkClick xmlns:r="http://schemas.openxmlformats.org/officeDocument/2006/relationships" r:id="rId13" tooltip="Klicken, um zu Teil C zu gelangen."/>
            <a:extLst>
              <a:ext uri="{FF2B5EF4-FFF2-40B4-BE49-F238E27FC236}">
                <a16:creationId xmlns:a16="http://schemas.microsoft.com/office/drawing/2014/main" id="{00000000-0008-0000-0700-00001D000000}"/>
              </a:ext>
            </a:extLst>
          </xdr:cNvPr>
          <xdr:cNvSpPr/>
        </xdr:nvSpPr>
        <xdr:spPr>
          <a:xfrm>
            <a:off x="4598227" y="888544"/>
            <a:ext cx="1923809"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30" name="D Kostenanalyse">
            <a:hlinkClick xmlns:r="http://schemas.openxmlformats.org/officeDocument/2006/relationships" r:id="rId14" tooltip="Klicken, um zu Teil D zu gelangen."/>
            <a:extLst>
              <a:ext uri="{FF2B5EF4-FFF2-40B4-BE49-F238E27FC236}">
                <a16:creationId xmlns:a16="http://schemas.microsoft.com/office/drawing/2014/main" id="{00000000-0008-0000-0700-00001E000000}"/>
              </a:ext>
            </a:extLst>
          </xdr:cNvPr>
          <xdr:cNvSpPr/>
        </xdr:nvSpPr>
        <xdr:spPr>
          <a:xfrm>
            <a:off x="6206165" y="888544"/>
            <a:ext cx="1607038"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31" name="E1 Checklisten">
            <a:hlinkClick xmlns:r="http://schemas.openxmlformats.org/officeDocument/2006/relationships" r:id="rId15" tooltip="Klicken, um zu Teil E1 zu gelangen."/>
            <a:extLst>
              <a:ext uri="{FF2B5EF4-FFF2-40B4-BE49-F238E27FC236}">
                <a16:creationId xmlns:a16="http://schemas.microsoft.com/office/drawing/2014/main" id="{00000000-0008-0000-0700-00001F000000}"/>
              </a:ext>
            </a:extLst>
          </xdr:cNvPr>
          <xdr:cNvSpPr/>
        </xdr:nvSpPr>
        <xdr:spPr>
          <a:xfrm>
            <a:off x="7537509" y="888544"/>
            <a:ext cx="1000176" cy="268283"/>
          </a:xfrm>
          <a:prstGeom prst="round2SameRect">
            <a:avLst>
              <a:gd name="adj1" fmla="val 50000"/>
              <a:gd name="adj2" fmla="val 0"/>
            </a:avLst>
          </a:prstGeom>
          <a:solidFill>
            <a:schemeClr val="tx2">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1">
                <a:solidFill>
                  <a:schemeClr val="tx2"/>
                </a:solidFill>
                <a:effectLst/>
                <a:latin typeface="+mn-lt"/>
                <a:ea typeface="+mn-ea"/>
                <a:cs typeface="+mn-cs"/>
              </a:rPr>
              <a:t>E1  + </a:t>
            </a:r>
            <a:endParaRPr lang="de-DE" sz="1300" b="1">
              <a:solidFill>
                <a:schemeClr val="tx2"/>
              </a:solidFill>
              <a:effectLst/>
            </a:endParaRPr>
          </a:p>
        </xdr:txBody>
      </xdr:sp>
      <xdr:sp macro="" textlink="">
        <xdr:nvSpPr>
          <xdr:cNvPr id="32" name="E2 Checklisten">
            <a:extLst>
              <a:ext uri="{FF2B5EF4-FFF2-40B4-BE49-F238E27FC236}">
                <a16:creationId xmlns:a16="http://schemas.microsoft.com/office/drawing/2014/main" id="{00000000-0008-0000-0700-000020000000}"/>
              </a:ext>
            </a:extLst>
          </xdr:cNvPr>
          <xdr:cNvSpPr/>
        </xdr:nvSpPr>
        <xdr:spPr>
          <a:xfrm>
            <a:off x="8061435" y="888860"/>
            <a:ext cx="1472105" cy="26828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E2 ▪ Checklisten</a:t>
            </a:r>
            <a:endParaRPr lang="de-DE" sz="1300" b="0">
              <a:solidFill>
                <a:schemeClr val="bg1"/>
              </a:solidFill>
              <a:effectLst/>
            </a:endParaRPr>
          </a:p>
        </xdr:txBody>
      </xdr:sp>
      <xdr:sp macro="" textlink="">
        <xdr:nvSpPr>
          <xdr:cNvPr id="33" name="F Kurzbericht">
            <a:hlinkClick xmlns:r="http://schemas.openxmlformats.org/officeDocument/2006/relationships" r:id="rId16" tooltip="Klicken, um zu Teil F zu gelangen."/>
            <a:extLst>
              <a:ext uri="{FF2B5EF4-FFF2-40B4-BE49-F238E27FC236}">
                <a16:creationId xmlns:a16="http://schemas.microsoft.com/office/drawing/2014/main" id="{00000000-0008-0000-0700-000021000000}"/>
              </a:ext>
            </a:extLst>
          </xdr:cNvPr>
          <xdr:cNvSpPr/>
        </xdr:nvSpPr>
        <xdr:spPr>
          <a:xfrm>
            <a:off x="9274938" y="888544"/>
            <a:ext cx="1180134"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116</xdr:row>
      <xdr:rowOff>136735</xdr:rowOff>
    </xdr:from>
    <xdr:to>
      <xdr:col>24</xdr:col>
      <xdr:colOff>0</xdr:colOff>
      <xdr:row>118</xdr:row>
      <xdr:rowOff>0</xdr:rowOff>
    </xdr:to>
    <xdr:grpSp>
      <xdr:nvGrpSpPr>
        <xdr:cNvPr id="10" name="Footer">
          <a:extLst>
            <a:ext uri="{FF2B5EF4-FFF2-40B4-BE49-F238E27FC236}">
              <a16:creationId xmlns:a16="http://schemas.microsoft.com/office/drawing/2014/main" id="{00000000-0008-0000-0800-00000A000000}"/>
            </a:ext>
          </a:extLst>
        </xdr:cNvPr>
        <xdr:cNvGrpSpPr/>
      </xdr:nvGrpSpPr>
      <xdr:grpSpPr>
        <a:xfrm>
          <a:off x="0" y="22844335"/>
          <a:ext cx="14681200" cy="764965"/>
          <a:chOff x="0" y="58124935"/>
          <a:chExt cx="12915900" cy="768140"/>
        </a:xfrm>
      </xdr:grpSpPr>
      <xdr:sp macro="" textlink="">
        <xdr:nvSpPr>
          <xdr:cNvPr id="11" name="Spacer Footer">
            <a:extLst>
              <a:ext uri="{FF2B5EF4-FFF2-40B4-BE49-F238E27FC236}">
                <a16:creationId xmlns:a16="http://schemas.microsoft.com/office/drawing/2014/main" id="{00000000-0008-0000-0800-00000B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 name="LOGO BStext">
            <a:hlinkClick xmlns:r="http://schemas.openxmlformats.org/officeDocument/2006/relationships" r:id="rId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3" name="LOGO IFP">
            <a:hlinkClick xmlns:r="http://schemas.openxmlformats.org/officeDocument/2006/relationships" r:id="rId3"/>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editAs="oneCell">
    <xdr:from>
      <xdr:col>23</xdr:col>
      <xdr:colOff>87805</xdr:colOff>
      <xdr:row>4</xdr:row>
      <xdr:rowOff>0</xdr:rowOff>
    </xdr:from>
    <xdr:to>
      <xdr:col>24</xdr:col>
      <xdr:colOff>7555</xdr:colOff>
      <xdr:row>15</xdr:row>
      <xdr:rowOff>189300</xdr:rowOff>
    </xdr:to>
    <xdr:pic>
      <xdr:nvPicPr>
        <xdr:cNvPr id="14" name="LOGO IFP SB">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5"/>
        <a:stretch>
          <a:fillRect/>
        </a:stretch>
      </xdr:blipFill>
      <xdr:spPr>
        <a:xfrm rot="5400000">
          <a:off x="11735455" y="1534950"/>
          <a:ext cx="1980000" cy="396000"/>
        </a:xfrm>
        <a:prstGeom prst="rect">
          <a:avLst/>
        </a:prstGeom>
      </xdr:spPr>
    </xdr:pic>
    <xdr:clientData/>
  </xdr:twoCellAnchor>
  <xdr:twoCellAnchor editAs="absolute">
    <xdr:from>
      <xdr:col>23</xdr:col>
      <xdr:colOff>0</xdr:colOff>
      <xdr:row>15</xdr:row>
      <xdr:rowOff>189300</xdr:rowOff>
    </xdr:from>
    <xdr:to>
      <xdr:col>23</xdr:col>
      <xdr:colOff>474280</xdr:colOff>
      <xdr:row>18</xdr:row>
      <xdr:rowOff>144418</xdr:rowOff>
    </xdr:to>
    <xdr:sp macro="" textlink="">
      <xdr:nvSpPr>
        <xdr:cNvPr id="15" name="Spacer">
          <a:extLst>
            <a:ext uri="{FF2B5EF4-FFF2-40B4-BE49-F238E27FC236}">
              <a16:creationId xmlns:a16="http://schemas.microsoft.com/office/drawing/2014/main" id="{00000000-0008-0000-0800-00000F000000}"/>
            </a:ext>
          </a:extLst>
        </xdr:cNvPr>
        <xdr:cNvSpPr/>
      </xdr:nvSpPr>
      <xdr:spPr>
        <a:xfrm>
          <a:off x="12439650" y="2722950"/>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8" name="Spacer">
          <a:extLst>
            <a:ext uri="{FF2B5EF4-FFF2-40B4-BE49-F238E27FC236}">
              <a16:creationId xmlns:a16="http://schemas.microsoft.com/office/drawing/2014/main" id="{00000000-0008-0000-0800-000008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2</xdr:col>
      <xdr:colOff>0</xdr:colOff>
      <xdr:row>0</xdr:row>
      <xdr:rowOff>207362</xdr:rowOff>
    </xdr:from>
    <xdr:to>
      <xdr:col>16</xdr:col>
      <xdr:colOff>637080</xdr:colOff>
      <xdr:row>1</xdr:row>
      <xdr:rowOff>0</xdr:rowOff>
    </xdr:to>
    <xdr:grpSp>
      <xdr:nvGrpSpPr>
        <xdr:cNvPr id="2" name="Navbar F">
          <a:extLst>
            <a:ext uri="{FF2B5EF4-FFF2-40B4-BE49-F238E27FC236}">
              <a16:creationId xmlns:a16="http://schemas.microsoft.com/office/drawing/2014/main" id="{00000000-0008-0000-0800-000002000000}"/>
            </a:ext>
          </a:extLst>
        </xdr:cNvPr>
        <xdr:cNvGrpSpPr/>
      </xdr:nvGrpSpPr>
      <xdr:grpSpPr>
        <a:xfrm>
          <a:off x="406400" y="207362"/>
          <a:ext cx="10949480" cy="262538"/>
          <a:chOff x="361950" y="205371"/>
          <a:chExt cx="9662855" cy="270879"/>
        </a:xfrm>
      </xdr:grpSpPr>
      <xdr:sp macro="" textlink="">
        <xdr:nvSpPr>
          <xdr:cNvPr id="3" name="0 Home-Button">
            <a:hlinkClick xmlns:r="http://schemas.openxmlformats.org/officeDocument/2006/relationships" r:id="rId6" tooltip="Klicken, um zur Startseite zu gelangen."/>
            <a:extLst>
              <a:ext uri="{FF2B5EF4-FFF2-40B4-BE49-F238E27FC236}">
                <a16:creationId xmlns:a16="http://schemas.microsoft.com/office/drawing/2014/main" id="{00000000-0008-0000-0800-000003000000}"/>
              </a:ext>
            </a:extLst>
          </xdr:cNvPr>
          <xdr:cNvSpPr/>
        </xdr:nvSpPr>
        <xdr:spPr>
          <a:xfrm>
            <a:off x="361950" y="205371"/>
            <a:ext cx="1950691"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4" name="Home-Button">
            <a:hlinkClick xmlns:r="http://schemas.openxmlformats.org/officeDocument/2006/relationships" r:id="rId6" tooltip="Klicken, um zur Startseite zu gelan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7"/>
          <a:srcRect/>
          <a:stretch/>
        </xdr:blipFill>
        <xdr:spPr>
          <a:xfrm>
            <a:off x="453899" y="262635"/>
            <a:ext cx="215823" cy="173413"/>
          </a:xfrm>
          <a:prstGeom prst="rect">
            <a:avLst/>
          </a:prstGeom>
        </xdr:spPr>
      </xdr:pic>
      <xdr:sp macro="" textlink="">
        <xdr:nvSpPr>
          <xdr:cNvPr id="5" name="00 Bestan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800-000005000000}"/>
              </a:ext>
            </a:extLst>
          </xdr:cNvPr>
          <xdr:cNvSpPr/>
        </xdr:nvSpPr>
        <xdr:spPr>
          <a:xfrm>
            <a:off x="744174" y="205371"/>
            <a:ext cx="1949150"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24" name="123 Bestand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800-000018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25" name="A Bestandseingabe">
            <a:hlinkClick xmlns:r="http://schemas.openxmlformats.org/officeDocument/2006/relationships" r:id="rId9" tooltip="Klicken, um zu Teil A zu gelangen."/>
            <a:extLst>
              <a:ext uri="{FF2B5EF4-FFF2-40B4-BE49-F238E27FC236}">
                <a16:creationId xmlns:a16="http://schemas.microsoft.com/office/drawing/2014/main" id="{00000000-0008-0000-0800-000019000000}"/>
              </a:ext>
            </a:extLst>
          </xdr:cNvPr>
          <xdr:cNvSpPr/>
        </xdr:nvSpPr>
        <xdr:spPr>
          <a:xfrm>
            <a:off x="1097226" y="205371"/>
            <a:ext cx="184229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26" name="B Parametereingabe">
            <a:hlinkClick xmlns:r="http://schemas.openxmlformats.org/officeDocument/2006/relationships" r:id="rId10" tooltip="Klicken, um zu Teil B zu gelangen."/>
            <a:extLst>
              <a:ext uri="{FF2B5EF4-FFF2-40B4-BE49-F238E27FC236}">
                <a16:creationId xmlns:a16="http://schemas.microsoft.com/office/drawing/2014/main" id="{00000000-0008-0000-0800-00001A000000}"/>
              </a:ext>
            </a:extLst>
          </xdr:cNvPr>
          <xdr:cNvSpPr/>
        </xdr:nvSpPr>
        <xdr:spPr>
          <a:xfrm>
            <a:off x="2599818" y="205371"/>
            <a:ext cx="1983725"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27" name="C Ergebnisjustierung">
            <a:hlinkClick xmlns:r="http://schemas.openxmlformats.org/officeDocument/2006/relationships" r:id="rId11" tooltip="Klicken, um zu Teil C zu gelangen."/>
            <a:extLst>
              <a:ext uri="{FF2B5EF4-FFF2-40B4-BE49-F238E27FC236}">
                <a16:creationId xmlns:a16="http://schemas.microsoft.com/office/drawing/2014/main" id="{00000000-0008-0000-0800-00001B000000}"/>
              </a:ext>
            </a:extLst>
          </xdr:cNvPr>
          <xdr:cNvSpPr/>
        </xdr:nvSpPr>
        <xdr:spPr>
          <a:xfrm>
            <a:off x="4191608" y="205371"/>
            <a:ext cx="1915926"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28" name="D Kostenanalyse">
            <a:hlinkClick xmlns:r="http://schemas.openxmlformats.org/officeDocument/2006/relationships" r:id="rId12" tooltip="Klicken, um zu Teil D zu gelangen."/>
            <a:extLst>
              <a:ext uri="{FF2B5EF4-FFF2-40B4-BE49-F238E27FC236}">
                <a16:creationId xmlns:a16="http://schemas.microsoft.com/office/drawing/2014/main" id="{00000000-0008-0000-0800-00001C000000}"/>
              </a:ext>
            </a:extLst>
          </xdr:cNvPr>
          <xdr:cNvSpPr/>
        </xdr:nvSpPr>
        <xdr:spPr>
          <a:xfrm>
            <a:off x="5791663" y="205371"/>
            <a:ext cx="1601783"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29" name="E1 Checklisten">
            <a:hlinkClick xmlns:r="http://schemas.openxmlformats.org/officeDocument/2006/relationships" r:id="rId13" tooltip="Klicken, um zu Teil E1 zu gelangen."/>
            <a:extLst>
              <a:ext uri="{FF2B5EF4-FFF2-40B4-BE49-F238E27FC236}">
                <a16:creationId xmlns:a16="http://schemas.microsoft.com/office/drawing/2014/main" id="{00000000-0008-0000-0800-00001D000000}"/>
              </a:ext>
            </a:extLst>
          </xdr:cNvPr>
          <xdr:cNvSpPr/>
        </xdr:nvSpPr>
        <xdr:spPr>
          <a:xfrm>
            <a:off x="7117752"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30" name="E2 Checklisten">
            <a:hlinkClick xmlns:r="http://schemas.openxmlformats.org/officeDocument/2006/relationships" r:id="rId14" tooltip="Klicken, um zu Teil E2 zu gelangen."/>
            <a:extLst>
              <a:ext uri="{FF2B5EF4-FFF2-40B4-BE49-F238E27FC236}">
                <a16:creationId xmlns:a16="http://schemas.microsoft.com/office/drawing/2014/main" id="{00000000-0008-0000-0800-00001E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 ▪ Checklisten</a:t>
            </a:r>
            <a:endParaRPr lang="de-DE" sz="1300" b="0">
              <a:solidFill>
                <a:schemeClr val="accent3">
                  <a:lumMod val="50000"/>
                </a:schemeClr>
              </a:solidFill>
              <a:effectLst/>
            </a:endParaRPr>
          </a:p>
        </xdr:txBody>
      </xdr:sp>
      <xdr:sp macro="" textlink="">
        <xdr:nvSpPr>
          <xdr:cNvPr id="31" name="F Kurzbericht">
            <a:extLst>
              <a:ext uri="{FF2B5EF4-FFF2-40B4-BE49-F238E27FC236}">
                <a16:creationId xmlns:a16="http://schemas.microsoft.com/office/drawing/2014/main" id="{00000000-0008-0000-0800-00001F000000}"/>
              </a:ext>
            </a:extLst>
          </xdr:cNvPr>
          <xdr:cNvSpPr/>
        </xdr:nvSpPr>
        <xdr:spPr>
          <a:xfrm>
            <a:off x="8847298" y="205371"/>
            <a:ext cx="1177507"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F ▪ Kurzbericht</a:t>
            </a:r>
            <a:endParaRPr lang="de-DE" sz="1300" b="0">
              <a:solidFill>
                <a:schemeClr val="bg1"/>
              </a:solidFill>
              <a:effectLst/>
            </a:endParaRPr>
          </a:p>
        </xdr:txBody>
      </xdr:sp>
    </xdr:grpSp>
    <xdr:clientData/>
  </xdr:twoCellAnchor>
</xdr:wsDr>
</file>

<file path=xl/theme/theme1.xml><?xml version="1.0" encoding="utf-8"?>
<a:theme xmlns:a="http://schemas.openxmlformats.org/drawingml/2006/main" name="Office Theme">
  <a:themeElements>
    <a:clrScheme name="Infostelle Fahrradparken">
      <a:dk1>
        <a:sysClr val="windowText" lastClr="000000"/>
      </a:dk1>
      <a:lt1>
        <a:sysClr val="window" lastClr="FFFFFF"/>
      </a:lt1>
      <a:dk2>
        <a:srgbClr val="44546A"/>
      </a:dk2>
      <a:lt2>
        <a:srgbClr val="A5A5A5"/>
      </a:lt2>
      <a:accent1>
        <a:srgbClr val="954F72"/>
      </a:accent1>
      <a:accent2>
        <a:srgbClr val="ED7D31"/>
      </a:accent2>
      <a:accent3>
        <a:srgbClr val="FFC000"/>
      </a:accent3>
      <a:accent4>
        <a:srgbClr val="70AD47"/>
      </a:accent4>
      <a:accent5>
        <a:srgbClr val="0563C1"/>
      </a:accent5>
      <a:accent6>
        <a:srgbClr val="C00000"/>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ail@radparken.info" TargetMode="External"/><Relationship Id="rId1" Type="http://schemas.openxmlformats.org/officeDocument/2006/relationships/hyperlink" Target="mailto:lukas.benda@bahnstadt.d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xml"/><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12" Type="http://schemas.openxmlformats.org/officeDocument/2006/relationships/ctrlProp" Target="../ctrlProps/ctrlProp108.xml"/><Relationship Id="rId16" Type="http://schemas.openxmlformats.org/officeDocument/2006/relationships/ctrlProp" Target="../ctrlProps/ctrlProp12.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113" Type="http://schemas.openxmlformats.org/officeDocument/2006/relationships/ctrlProp" Target="../ctrlProps/ctrlProp109.xml"/><Relationship Id="rId118" Type="http://schemas.openxmlformats.org/officeDocument/2006/relationships/ctrlProp" Target="../ctrlProps/ctrlProp114.xml"/><Relationship Id="rId80" Type="http://schemas.openxmlformats.org/officeDocument/2006/relationships/ctrlProp" Target="../ctrlProps/ctrlProp76.xml"/><Relationship Id="rId85" Type="http://schemas.openxmlformats.org/officeDocument/2006/relationships/ctrlProp" Target="../ctrlProps/ctrlProp81.xml"/><Relationship Id="rId12" Type="http://schemas.openxmlformats.org/officeDocument/2006/relationships/ctrlProp" Target="../ctrlProps/ctrlProp8.xml"/><Relationship Id="rId17" Type="http://schemas.openxmlformats.org/officeDocument/2006/relationships/ctrlProp" Target="../ctrlProps/ctrlProp13.xml"/><Relationship Id="rId33" Type="http://schemas.openxmlformats.org/officeDocument/2006/relationships/ctrlProp" Target="../ctrlProps/ctrlProp29.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08" Type="http://schemas.openxmlformats.org/officeDocument/2006/relationships/ctrlProp" Target="../ctrlProps/ctrlProp104.xml"/><Relationship Id="rId54" Type="http://schemas.openxmlformats.org/officeDocument/2006/relationships/ctrlProp" Target="../ctrlProps/ctrlProp50.xml"/><Relationship Id="rId70" Type="http://schemas.openxmlformats.org/officeDocument/2006/relationships/ctrlProp" Target="../ctrlProps/ctrlProp66.xml"/><Relationship Id="rId75" Type="http://schemas.openxmlformats.org/officeDocument/2006/relationships/ctrlProp" Target="../ctrlProps/ctrlProp71.xml"/><Relationship Id="rId91" Type="http://schemas.openxmlformats.org/officeDocument/2006/relationships/ctrlProp" Target="../ctrlProps/ctrlProp87.xml"/><Relationship Id="rId96" Type="http://schemas.openxmlformats.org/officeDocument/2006/relationships/ctrlProp" Target="../ctrlProps/ctrlProp92.xml"/><Relationship Id="rId1" Type="http://schemas.openxmlformats.org/officeDocument/2006/relationships/printerSettings" Target="../printerSettings/printerSettings7.bin"/><Relationship Id="rId6" Type="http://schemas.openxmlformats.org/officeDocument/2006/relationships/ctrlProp" Target="../ctrlProps/ctrlProp2.xml"/><Relationship Id="rId23" Type="http://schemas.openxmlformats.org/officeDocument/2006/relationships/ctrlProp" Target="../ctrlProps/ctrlProp19.xml"/><Relationship Id="rId28" Type="http://schemas.openxmlformats.org/officeDocument/2006/relationships/ctrlProp" Target="../ctrlProps/ctrlProp24.xml"/><Relationship Id="rId49" Type="http://schemas.openxmlformats.org/officeDocument/2006/relationships/ctrlProp" Target="../ctrlProps/ctrlProp45.xml"/><Relationship Id="rId114" Type="http://schemas.openxmlformats.org/officeDocument/2006/relationships/ctrlProp" Target="../ctrlProps/ctrlProp110.xml"/><Relationship Id="rId119" Type="http://schemas.openxmlformats.org/officeDocument/2006/relationships/ctrlProp" Target="../ctrlProps/ctrlProp115.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4" Type="http://schemas.openxmlformats.org/officeDocument/2006/relationships/vmlDrawing" Target="../drawings/vmlDrawing8.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drawing" Target="../drawings/drawing7.xml"/><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3" Type="http://schemas.openxmlformats.org/officeDocument/2006/relationships/vmlDrawing" Target="../drawings/vmlDrawing7.v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116" Type="http://schemas.openxmlformats.org/officeDocument/2006/relationships/ctrlProp" Target="../ctrlProps/ctrlProp112.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88" Type="http://schemas.openxmlformats.org/officeDocument/2006/relationships/ctrlProp" Target="../ctrlProps/ctrlProp84.xml"/><Relationship Id="rId111" Type="http://schemas.openxmlformats.org/officeDocument/2006/relationships/ctrlProp" Target="../ctrlProps/ctrlProp107.xml"/><Relationship Id="rId15" Type="http://schemas.openxmlformats.org/officeDocument/2006/relationships/ctrlProp" Target="../ctrlProps/ctrlProp11.xml"/><Relationship Id="rId36" Type="http://schemas.openxmlformats.org/officeDocument/2006/relationships/ctrlProp" Target="../ctrlProps/ctrlProp32.xml"/><Relationship Id="rId57" Type="http://schemas.openxmlformats.org/officeDocument/2006/relationships/ctrlProp" Target="../ctrlProps/ctrlProp53.xml"/><Relationship Id="rId106" Type="http://schemas.openxmlformats.org/officeDocument/2006/relationships/ctrlProp" Target="../ctrlProps/ctrlProp102.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228.xml"/><Relationship Id="rId21" Type="http://schemas.openxmlformats.org/officeDocument/2006/relationships/ctrlProp" Target="../ctrlProps/ctrlProp132.xml"/><Relationship Id="rId42" Type="http://schemas.openxmlformats.org/officeDocument/2006/relationships/ctrlProp" Target="../ctrlProps/ctrlProp153.xml"/><Relationship Id="rId63" Type="http://schemas.openxmlformats.org/officeDocument/2006/relationships/ctrlProp" Target="../ctrlProps/ctrlProp174.xml"/><Relationship Id="rId84" Type="http://schemas.openxmlformats.org/officeDocument/2006/relationships/ctrlProp" Target="../ctrlProps/ctrlProp195.xml"/><Relationship Id="rId16" Type="http://schemas.openxmlformats.org/officeDocument/2006/relationships/ctrlProp" Target="../ctrlProps/ctrlProp127.xml"/><Relationship Id="rId107" Type="http://schemas.openxmlformats.org/officeDocument/2006/relationships/ctrlProp" Target="../ctrlProps/ctrlProp218.xml"/><Relationship Id="rId11" Type="http://schemas.openxmlformats.org/officeDocument/2006/relationships/ctrlProp" Target="../ctrlProps/ctrlProp122.xml"/><Relationship Id="rId32" Type="http://schemas.openxmlformats.org/officeDocument/2006/relationships/ctrlProp" Target="../ctrlProps/ctrlProp143.xml"/><Relationship Id="rId37" Type="http://schemas.openxmlformats.org/officeDocument/2006/relationships/ctrlProp" Target="../ctrlProps/ctrlProp148.xml"/><Relationship Id="rId53" Type="http://schemas.openxmlformats.org/officeDocument/2006/relationships/ctrlProp" Target="../ctrlProps/ctrlProp164.xml"/><Relationship Id="rId58" Type="http://schemas.openxmlformats.org/officeDocument/2006/relationships/ctrlProp" Target="../ctrlProps/ctrlProp169.xml"/><Relationship Id="rId74" Type="http://schemas.openxmlformats.org/officeDocument/2006/relationships/ctrlProp" Target="../ctrlProps/ctrlProp185.xml"/><Relationship Id="rId79" Type="http://schemas.openxmlformats.org/officeDocument/2006/relationships/ctrlProp" Target="../ctrlProps/ctrlProp190.xml"/><Relationship Id="rId102" Type="http://schemas.openxmlformats.org/officeDocument/2006/relationships/ctrlProp" Target="../ctrlProps/ctrlProp213.xml"/><Relationship Id="rId123" Type="http://schemas.openxmlformats.org/officeDocument/2006/relationships/ctrlProp" Target="../ctrlProps/ctrlProp234.xml"/><Relationship Id="rId128" Type="http://schemas.openxmlformats.org/officeDocument/2006/relationships/ctrlProp" Target="../ctrlProps/ctrlProp239.xml"/><Relationship Id="rId5" Type="http://schemas.openxmlformats.org/officeDocument/2006/relationships/ctrlProp" Target="../ctrlProps/ctrlProp116.xml"/><Relationship Id="rId90" Type="http://schemas.openxmlformats.org/officeDocument/2006/relationships/ctrlProp" Target="../ctrlProps/ctrlProp201.xml"/><Relationship Id="rId95" Type="http://schemas.openxmlformats.org/officeDocument/2006/relationships/ctrlProp" Target="../ctrlProps/ctrlProp206.xml"/><Relationship Id="rId22" Type="http://schemas.openxmlformats.org/officeDocument/2006/relationships/ctrlProp" Target="../ctrlProps/ctrlProp133.xml"/><Relationship Id="rId27" Type="http://schemas.openxmlformats.org/officeDocument/2006/relationships/ctrlProp" Target="../ctrlProps/ctrlProp138.xml"/><Relationship Id="rId43" Type="http://schemas.openxmlformats.org/officeDocument/2006/relationships/ctrlProp" Target="../ctrlProps/ctrlProp154.xml"/><Relationship Id="rId48" Type="http://schemas.openxmlformats.org/officeDocument/2006/relationships/ctrlProp" Target="../ctrlProps/ctrlProp159.xml"/><Relationship Id="rId64" Type="http://schemas.openxmlformats.org/officeDocument/2006/relationships/ctrlProp" Target="../ctrlProps/ctrlProp175.xml"/><Relationship Id="rId69" Type="http://schemas.openxmlformats.org/officeDocument/2006/relationships/ctrlProp" Target="../ctrlProps/ctrlProp180.xml"/><Relationship Id="rId113" Type="http://schemas.openxmlformats.org/officeDocument/2006/relationships/ctrlProp" Target="../ctrlProps/ctrlProp224.xml"/><Relationship Id="rId118" Type="http://schemas.openxmlformats.org/officeDocument/2006/relationships/ctrlProp" Target="../ctrlProps/ctrlProp229.xml"/><Relationship Id="rId80" Type="http://schemas.openxmlformats.org/officeDocument/2006/relationships/ctrlProp" Target="../ctrlProps/ctrlProp191.xml"/><Relationship Id="rId85" Type="http://schemas.openxmlformats.org/officeDocument/2006/relationships/ctrlProp" Target="../ctrlProps/ctrlProp196.xml"/><Relationship Id="rId12" Type="http://schemas.openxmlformats.org/officeDocument/2006/relationships/ctrlProp" Target="../ctrlProps/ctrlProp123.xml"/><Relationship Id="rId17" Type="http://schemas.openxmlformats.org/officeDocument/2006/relationships/ctrlProp" Target="../ctrlProps/ctrlProp128.xml"/><Relationship Id="rId33" Type="http://schemas.openxmlformats.org/officeDocument/2006/relationships/ctrlProp" Target="../ctrlProps/ctrlProp144.xml"/><Relationship Id="rId38" Type="http://schemas.openxmlformats.org/officeDocument/2006/relationships/ctrlProp" Target="../ctrlProps/ctrlProp149.xml"/><Relationship Id="rId59" Type="http://schemas.openxmlformats.org/officeDocument/2006/relationships/ctrlProp" Target="../ctrlProps/ctrlProp170.xml"/><Relationship Id="rId103" Type="http://schemas.openxmlformats.org/officeDocument/2006/relationships/ctrlProp" Target="../ctrlProps/ctrlProp214.xml"/><Relationship Id="rId108" Type="http://schemas.openxmlformats.org/officeDocument/2006/relationships/ctrlProp" Target="../ctrlProps/ctrlProp219.xml"/><Relationship Id="rId124" Type="http://schemas.openxmlformats.org/officeDocument/2006/relationships/ctrlProp" Target="../ctrlProps/ctrlProp235.xml"/><Relationship Id="rId129" Type="http://schemas.openxmlformats.org/officeDocument/2006/relationships/ctrlProp" Target="../ctrlProps/ctrlProp240.xml"/><Relationship Id="rId54" Type="http://schemas.openxmlformats.org/officeDocument/2006/relationships/ctrlProp" Target="../ctrlProps/ctrlProp165.xml"/><Relationship Id="rId70" Type="http://schemas.openxmlformats.org/officeDocument/2006/relationships/ctrlProp" Target="../ctrlProps/ctrlProp181.xml"/><Relationship Id="rId75" Type="http://schemas.openxmlformats.org/officeDocument/2006/relationships/ctrlProp" Target="../ctrlProps/ctrlProp186.xml"/><Relationship Id="rId91" Type="http://schemas.openxmlformats.org/officeDocument/2006/relationships/ctrlProp" Target="../ctrlProps/ctrlProp202.xml"/><Relationship Id="rId96" Type="http://schemas.openxmlformats.org/officeDocument/2006/relationships/ctrlProp" Target="../ctrlProps/ctrlProp207.xml"/><Relationship Id="rId1" Type="http://schemas.openxmlformats.org/officeDocument/2006/relationships/printerSettings" Target="../printerSettings/printerSettings8.bin"/><Relationship Id="rId6" Type="http://schemas.openxmlformats.org/officeDocument/2006/relationships/ctrlProp" Target="../ctrlProps/ctrlProp117.xml"/><Relationship Id="rId23" Type="http://schemas.openxmlformats.org/officeDocument/2006/relationships/ctrlProp" Target="../ctrlProps/ctrlProp134.xml"/><Relationship Id="rId28" Type="http://schemas.openxmlformats.org/officeDocument/2006/relationships/ctrlProp" Target="../ctrlProps/ctrlProp139.xml"/><Relationship Id="rId49" Type="http://schemas.openxmlformats.org/officeDocument/2006/relationships/ctrlProp" Target="../ctrlProps/ctrlProp160.xml"/><Relationship Id="rId114" Type="http://schemas.openxmlformats.org/officeDocument/2006/relationships/ctrlProp" Target="../ctrlProps/ctrlProp225.xml"/><Relationship Id="rId119" Type="http://schemas.openxmlformats.org/officeDocument/2006/relationships/ctrlProp" Target="../ctrlProps/ctrlProp230.xml"/><Relationship Id="rId44" Type="http://schemas.openxmlformats.org/officeDocument/2006/relationships/ctrlProp" Target="../ctrlProps/ctrlProp155.xml"/><Relationship Id="rId60" Type="http://schemas.openxmlformats.org/officeDocument/2006/relationships/ctrlProp" Target="../ctrlProps/ctrlProp171.xml"/><Relationship Id="rId65" Type="http://schemas.openxmlformats.org/officeDocument/2006/relationships/ctrlProp" Target="../ctrlProps/ctrlProp176.xml"/><Relationship Id="rId81" Type="http://schemas.openxmlformats.org/officeDocument/2006/relationships/ctrlProp" Target="../ctrlProps/ctrlProp192.xml"/><Relationship Id="rId86" Type="http://schemas.openxmlformats.org/officeDocument/2006/relationships/ctrlProp" Target="../ctrlProps/ctrlProp197.xml"/><Relationship Id="rId130" Type="http://schemas.openxmlformats.org/officeDocument/2006/relationships/ctrlProp" Target="../ctrlProps/ctrlProp241.xml"/><Relationship Id="rId13" Type="http://schemas.openxmlformats.org/officeDocument/2006/relationships/ctrlProp" Target="../ctrlProps/ctrlProp124.xml"/><Relationship Id="rId18" Type="http://schemas.openxmlformats.org/officeDocument/2006/relationships/ctrlProp" Target="../ctrlProps/ctrlProp129.xml"/><Relationship Id="rId39" Type="http://schemas.openxmlformats.org/officeDocument/2006/relationships/ctrlProp" Target="../ctrlProps/ctrlProp150.xml"/><Relationship Id="rId109" Type="http://schemas.openxmlformats.org/officeDocument/2006/relationships/ctrlProp" Target="../ctrlProps/ctrlProp220.xml"/><Relationship Id="rId34" Type="http://schemas.openxmlformats.org/officeDocument/2006/relationships/ctrlProp" Target="../ctrlProps/ctrlProp145.xml"/><Relationship Id="rId50" Type="http://schemas.openxmlformats.org/officeDocument/2006/relationships/ctrlProp" Target="../ctrlProps/ctrlProp161.xml"/><Relationship Id="rId55" Type="http://schemas.openxmlformats.org/officeDocument/2006/relationships/ctrlProp" Target="../ctrlProps/ctrlProp166.xml"/><Relationship Id="rId76" Type="http://schemas.openxmlformats.org/officeDocument/2006/relationships/ctrlProp" Target="../ctrlProps/ctrlProp187.xml"/><Relationship Id="rId97" Type="http://schemas.openxmlformats.org/officeDocument/2006/relationships/ctrlProp" Target="../ctrlProps/ctrlProp208.xml"/><Relationship Id="rId104" Type="http://schemas.openxmlformats.org/officeDocument/2006/relationships/ctrlProp" Target="../ctrlProps/ctrlProp215.xml"/><Relationship Id="rId120" Type="http://schemas.openxmlformats.org/officeDocument/2006/relationships/ctrlProp" Target="../ctrlProps/ctrlProp231.xml"/><Relationship Id="rId125" Type="http://schemas.openxmlformats.org/officeDocument/2006/relationships/ctrlProp" Target="../ctrlProps/ctrlProp236.xml"/><Relationship Id="rId7" Type="http://schemas.openxmlformats.org/officeDocument/2006/relationships/ctrlProp" Target="../ctrlProps/ctrlProp118.xml"/><Relationship Id="rId71" Type="http://schemas.openxmlformats.org/officeDocument/2006/relationships/ctrlProp" Target="../ctrlProps/ctrlProp182.xml"/><Relationship Id="rId92" Type="http://schemas.openxmlformats.org/officeDocument/2006/relationships/ctrlProp" Target="../ctrlProps/ctrlProp203.xml"/><Relationship Id="rId2" Type="http://schemas.openxmlformats.org/officeDocument/2006/relationships/drawing" Target="../drawings/drawing8.xml"/><Relationship Id="rId29" Type="http://schemas.openxmlformats.org/officeDocument/2006/relationships/ctrlProp" Target="../ctrlProps/ctrlProp140.xml"/><Relationship Id="rId24" Type="http://schemas.openxmlformats.org/officeDocument/2006/relationships/ctrlProp" Target="../ctrlProps/ctrlProp135.xml"/><Relationship Id="rId40" Type="http://schemas.openxmlformats.org/officeDocument/2006/relationships/ctrlProp" Target="../ctrlProps/ctrlProp151.xml"/><Relationship Id="rId45" Type="http://schemas.openxmlformats.org/officeDocument/2006/relationships/ctrlProp" Target="../ctrlProps/ctrlProp156.xml"/><Relationship Id="rId66" Type="http://schemas.openxmlformats.org/officeDocument/2006/relationships/ctrlProp" Target="../ctrlProps/ctrlProp177.xml"/><Relationship Id="rId87" Type="http://schemas.openxmlformats.org/officeDocument/2006/relationships/ctrlProp" Target="../ctrlProps/ctrlProp198.xml"/><Relationship Id="rId110" Type="http://schemas.openxmlformats.org/officeDocument/2006/relationships/ctrlProp" Target="../ctrlProps/ctrlProp221.xml"/><Relationship Id="rId115" Type="http://schemas.openxmlformats.org/officeDocument/2006/relationships/ctrlProp" Target="../ctrlProps/ctrlProp226.xml"/><Relationship Id="rId131" Type="http://schemas.openxmlformats.org/officeDocument/2006/relationships/ctrlProp" Target="../ctrlProps/ctrlProp242.xml"/><Relationship Id="rId61" Type="http://schemas.openxmlformats.org/officeDocument/2006/relationships/ctrlProp" Target="../ctrlProps/ctrlProp172.xml"/><Relationship Id="rId82" Type="http://schemas.openxmlformats.org/officeDocument/2006/relationships/ctrlProp" Target="../ctrlProps/ctrlProp193.xml"/><Relationship Id="rId19" Type="http://schemas.openxmlformats.org/officeDocument/2006/relationships/ctrlProp" Target="../ctrlProps/ctrlProp130.xml"/><Relationship Id="rId14" Type="http://schemas.openxmlformats.org/officeDocument/2006/relationships/ctrlProp" Target="../ctrlProps/ctrlProp125.xml"/><Relationship Id="rId30" Type="http://schemas.openxmlformats.org/officeDocument/2006/relationships/ctrlProp" Target="../ctrlProps/ctrlProp141.xml"/><Relationship Id="rId35" Type="http://schemas.openxmlformats.org/officeDocument/2006/relationships/ctrlProp" Target="../ctrlProps/ctrlProp146.xml"/><Relationship Id="rId56" Type="http://schemas.openxmlformats.org/officeDocument/2006/relationships/ctrlProp" Target="../ctrlProps/ctrlProp167.xml"/><Relationship Id="rId77" Type="http://schemas.openxmlformats.org/officeDocument/2006/relationships/ctrlProp" Target="../ctrlProps/ctrlProp188.xml"/><Relationship Id="rId100" Type="http://schemas.openxmlformats.org/officeDocument/2006/relationships/ctrlProp" Target="../ctrlProps/ctrlProp211.xml"/><Relationship Id="rId105" Type="http://schemas.openxmlformats.org/officeDocument/2006/relationships/ctrlProp" Target="../ctrlProps/ctrlProp216.xml"/><Relationship Id="rId126" Type="http://schemas.openxmlformats.org/officeDocument/2006/relationships/ctrlProp" Target="../ctrlProps/ctrlProp237.xml"/><Relationship Id="rId8" Type="http://schemas.openxmlformats.org/officeDocument/2006/relationships/ctrlProp" Target="../ctrlProps/ctrlProp119.xml"/><Relationship Id="rId51" Type="http://schemas.openxmlformats.org/officeDocument/2006/relationships/ctrlProp" Target="../ctrlProps/ctrlProp162.xml"/><Relationship Id="rId72" Type="http://schemas.openxmlformats.org/officeDocument/2006/relationships/ctrlProp" Target="../ctrlProps/ctrlProp183.xml"/><Relationship Id="rId93" Type="http://schemas.openxmlformats.org/officeDocument/2006/relationships/ctrlProp" Target="../ctrlProps/ctrlProp204.xml"/><Relationship Id="rId98" Type="http://schemas.openxmlformats.org/officeDocument/2006/relationships/ctrlProp" Target="../ctrlProps/ctrlProp209.xml"/><Relationship Id="rId121" Type="http://schemas.openxmlformats.org/officeDocument/2006/relationships/ctrlProp" Target="../ctrlProps/ctrlProp232.xml"/><Relationship Id="rId3" Type="http://schemas.openxmlformats.org/officeDocument/2006/relationships/vmlDrawing" Target="../drawings/vmlDrawing9.vml"/><Relationship Id="rId25" Type="http://schemas.openxmlformats.org/officeDocument/2006/relationships/ctrlProp" Target="../ctrlProps/ctrlProp136.xml"/><Relationship Id="rId46" Type="http://schemas.openxmlformats.org/officeDocument/2006/relationships/ctrlProp" Target="../ctrlProps/ctrlProp157.xml"/><Relationship Id="rId67" Type="http://schemas.openxmlformats.org/officeDocument/2006/relationships/ctrlProp" Target="../ctrlProps/ctrlProp178.xml"/><Relationship Id="rId116" Type="http://schemas.openxmlformats.org/officeDocument/2006/relationships/ctrlProp" Target="../ctrlProps/ctrlProp227.xml"/><Relationship Id="rId20" Type="http://schemas.openxmlformats.org/officeDocument/2006/relationships/ctrlProp" Target="../ctrlProps/ctrlProp131.xml"/><Relationship Id="rId41" Type="http://schemas.openxmlformats.org/officeDocument/2006/relationships/ctrlProp" Target="../ctrlProps/ctrlProp152.xml"/><Relationship Id="rId62" Type="http://schemas.openxmlformats.org/officeDocument/2006/relationships/ctrlProp" Target="../ctrlProps/ctrlProp173.xml"/><Relationship Id="rId83" Type="http://schemas.openxmlformats.org/officeDocument/2006/relationships/ctrlProp" Target="../ctrlProps/ctrlProp194.xml"/><Relationship Id="rId88" Type="http://schemas.openxmlformats.org/officeDocument/2006/relationships/ctrlProp" Target="../ctrlProps/ctrlProp199.xml"/><Relationship Id="rId111" Type="http://schemas.openxmlformats.org/officeDocument/2006/relationships/ctrlProp" Target="../ctrlProps/ctrlProp222.xml"/><Relationship Id="rId132" Type="http://schemas.openxmlformats.org/officeDocument/2006/relationships/ctrlProp" Target="../ctrlProps/ctrlProp243.xml"/><Relationship Id="rId15" Type="http://schemas.openxmlformats.org/officeDocument/2006/relationships/ctrlProp" Target="../ctrlProps/ctrlProp126.xml"/><Relationship Id="rId36" Type="http://schemas.openxmlformats.org/officeDocument/2006/relationships/ctrlProp" Target="../ctrlProps/ctrlProp147.xml"/><Relationship Id="rId57" Type="http://schemas.openxmlformats.org/officeDocument/2006/relationships/ctrlProp" Target="../ctrlProps/ctrlProp168.xml"/><Relationship Id="rId106" Type="http://schemas.openxmlformats.org/officeDocument/2006/relationships/ctrlProp" Target="../ctrlProps/ctrlProp217.xml"/><Relationship Id="rId127" Type="http://schemas.openxmlformats.org/officeDocument/2006/relationships/ctrlProp" Target="../ctrlProps/ctrlProp238.xml"/><Relationship Id="rId10" Type="http://schemas.openxmlformats.org/officeDocument/2006/relationships/ctrlProp" Target="../ctrlProps/ctrlProp121.xml"/><Relationship Id="rId31" Type="http://schemas.openxmlformats.org/officeDocument/2006/relationships/ctrlProp" Target="../ctrlProps/ctrlProp142.xml"/><Relationship Id="rId52" Type="http://schemas.openxmlformats.org/officeDocument/2006/relationships/ctrlProp" Target="../ctrlProps/ctrlProp163.xml"/><Relationship Id="rId73" Type="http://schemas.openxmlformats.org/officeDocument/2006/relationships/ctrlProp" Target="../ctrlProps/ctrlProp184.xml"/><Relationship Id="rId78" Type="http://schemas.openxmlformats.org/officeDocument/2006/relationships/ctrlProp" Target="../ctrlProps/ctrlProp189.xml"/><Relationship Id="rId94" Type="http://schemas.openxmlformats.org/officeDocument/2006/relationships/ctrlProp" Target="../ctrlProps/ctrlProp205.xml"/><Relationship Id="rId99" Type="http://schemas.openxmlformats.org/officeDocument/2006/relationships/ctrlProp" Target="../ctrlProps/ctrlProp210.xml"/><Relationship Id="rId101" Type="http://schemas.openxmlformats.org/officeDocument/2006/relationships/ctrlProp" Target="../ctrlProps/ctrlProp212.xml"/><Relationship Id="rId122" Type="http://schemas.openxmlformats.org/officeDocument/2006/relationships/ctrlProp" Target="../ctrlProps/ctrlProp233.xml"/><Relationship Id="rId4" Type="http://schemas.openxmlformats.org/officeDocument/2006/relationships/vmlDrawing" Target="../drawings/vmlDrawing10.vml"/><Relationship Id="rId9" Type="http://schemas.openxmlformats.org/officeDocument/2006/relationships/ctrlProp" Target="../ctrlProps/ctrlProp120.xml"/><Relationship Id="rId26" Type="http://schemas.openxmlformats.org/officeDocument/2006/relationships/ctrlProp" Target="../ctrlProps/ctrlProp137.xml"/><Relationship Id="rId47" Type="http://schemas.openxmlformats.org/officeDocument/2006/relationships/ctrlProp" Target="../ctrlProps/ctrlProp158.xml"/><Relationship Id="rId68" Type="http://schemas.openxmlformats.org/officeDocument/2006/relationships/ctrlProp" Target="../ctrlProps/ctrlProp179.xml"/><Relationship Id="rId89" Type="http://schemas.openxmlformats.org/officeDocument/2006/relationships/ctrlProp" Target="../ctrlProps/ctrlProp200.xml"/><Relationship Id="rId112" Type="http://schemas.openxmlformats.org/officeDocument/2006/relationships/ctrlProp" Target="../ctrlProps/ctrlProp223.xml"/><Relationship Id="rId133" Type="http://schemas.openxmlformats.org/officeDocument/2006/relationships/ctrlProp" Target="../ctrlProps/ctrlProp24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5CB4F-86C2-4ACE-8E3B-A030B39C6655}">
  <sheetPr codeName="Sheet1">
    <tabColor theme="3" tint="0.79998168889431442"/>
    <pageSetUpPr autoPageBreaks="0" fitToPage="1"/>
  </sheetPr>
  <dimension ref="A1:AB323"/>
  <sheetViews>
    <sheetView showGridLines="0" showRowColHeaders="0" tabSelected="1" zoomScaleNormal="100" workbookViewId="0">
      <pane ySplit="3" topLeftCell="A4" activePane="bottomLeft" state="frozen"/>
      <selection pane="bottomLeft" activeCell="A4" sqref="A4"/>
    </sheetView>
  </sheetViews>
  <sheetFormatPr baseColWidth="10" defaultColWidth="18.6640625" defaultRowHeight="18" customHeight="1"/>
  <cols>
    <col min="1" max="1" width="1.6640625" style="203" customWidth="1"/>
    <col min="2" max="2" width="3.6640625" style="203" customWidth="1"/>
    <col min="3" max="20" width="9.6640625" style="203" customWidth="1"/>
    <col min="21" max="21" width="3.6640625" style="203" customWidth="1"/>
    <col min="22" max="22" width="1.6640625" style="203" customWidth="1"/>
    <col min="23" max="23" width="0.83203125" style="203" customWidth="1"/>
    <col min="24" max="24" width="7.1640625" style="203" customWidth="1"/>
    <col min="25" max="16384" width="18.6640625" style="203"/>
  </cols>
  <sheetData>
    <row r="1" spans="1:27" ht="37.5" customHeight="1">
      <c r="A1" s="1036" t="s">
        <v>178</v>
      </c>
      <c r="B1" s="1036"/>
      <c r="C1" s="506" t="str">
        <f>TBS_FH</f>
        <v/>
      </c>
      <c r="D1" s="504"/>
      <c r="E1" s="504"/>
      <c r="F1" s="504"/>
      <c r="G1" s="504"/>
      <c r="H1" s="504"/>
      <c r="I1" s="504"/>
      <c r="J1" s="504"/>
      <c r="K1" s="504"/>
      <c r="L1" s="504"/>
      <c r="M1" s="504"/>
      <c r="N1" s="504"/>
      <c r="O1" s="504"/>
      <c r="P1" s="504"/>
      <c r="Q1" s="504"/>
      <c r="R1" s="1037" t="str">
        <f>"Ermittelter Baubedarf:"&amp;CHAR(10)&amp;VA_BBGESAMT</f>
        <v>Ermittelter Baubedarf:
es fehlen noch Daten</v>
      </c>
      <c r="S1" s="1038"/>
      <c r="T1" s="1038"/>
      <c r="U1" s="507"/>
      <c r="Y1" s="1034" t="s">
        <v>779</v>
      </c>
      <c r="Z1" s="1034"/>
      <c r="AA1" s="1034"/>
    </row>
    <row r="2" spans="1:27" ht="4" customHeight="1">
      <c r="A2" s="204"/>
      <c r="B2" s="205"/>
      <c r="C2" s="205"/>
      <c r="D2" s="204"/>
      <c r="E2" s="204"/>
      <c r="F2" s="204"/>
      <c r="G2" s="204"/>
      <c r="H2" s="204"/>
      <c r="I2" s="204"/>
      <c r="J2" s="204"/>
      <c r="K2" s="204"/>
      <c r="L2" s="204"/>
      <c r="M2" s="204"/>
      <c r="N2" s="204"/>
      <c r="O2" s="204"/>
      <c r="P2" s="204"/>
      <c r="Q2" s="204"/>
      <c r="R2" s="204"/>
      <c r="S2" s="204"/>
      <c r="T2" s="204"/>
      <c r="U2" s="204"/>
      <c r="V2" s="204"/>
      <c r="W2" s="204"/>
    </row>
    <row r="3" spans="1:27" ht="4" customHeight="1">
      <c r="B3" s="206"/>
      <c r="C3" s="206"/>
      <c r="W3" s="204"/>
    </row>
    <row r="4" spans="1:27" ht="14" customHeight="1">
      <c r="W4" s="204"/>
    </row>
    <row r="5" spans="1:27" ht="24" customHeight="1">
      <c r="C5" s="873" t="s">
        <v>720</v>
      </c>
      <c r="W5" s="204"/>
    </row>
    <row r="6" spans="1:27" ht="14" customHeight="1" thickBot="1">
      <c r="W6" s="204"/>
    </row>
    <row r="7" spans="1:27" ht="14" customHeight="1">
      <c r="B7" s="207"/>
      <c r="C7" s="208"/>
      <c r="D7" s="208"/>
      <c r="E7" s="208"/>
      <c r="F7" s="208"/>
      <c r="G7" s="208"/>
      <c r="H7" s="208"/>
      <c r="I7" s="208"/>
      <c r="J7" s="208"/>
      <c r="K7" s="208"/>
      <c r="L7" s="208"/>
      <c r="M7" s="208"/>
      <c r="N7" s="208"/>
      <c r="O7" s="208"/>
      <c r="P7" s="208"/>
      <c r="Q7" s="208"/>
      <c r="R7" s="208"/>
      <c r="S7" s="208"/>
      <c r="T7" s="208"/>
      <c r="U7" s="209"/>
      <c r="W7" s="204"/>
    </row>
    <row r="8" spans="1:27" ht="18" customHeight="1">
      <c r="B8" s="210"/>
      <c r="C8" s="211" t="s">
        <v>257</v>
      </c>
      <c r="D8" s="212"/>
      <c r="E8" s="212"/>
      <c r="F8" s="212"/>
      <c r="G8" s="212"/>
      <c r="H8" s="212"/>
      <c r="I8" s="212"/>
      <c r="J8" s="212"/>
      <c r="K8" s="212"/>
      <c r="L8" s="212"/>
      <c r="M8" s="212"/>
      <c r="N8" s="212"/>
      <c r="O8" s="212"/>
      <c r="P8" s="212"/>
      <c r="Q8" s="212"/>
      <c r="R8" s="212"/>
      <c r="S8" s="212"/>
      <c r="T8" s="212"/>
      <c r="U8" s="213"/>
      <c r="W8" s="204"/>
    </row>
    <row r="9" spans="1:27" ht="6" customHeight="1">
      <c r="B9" s="210"/>
      <c r="C9" s="211"/>
      <c r="D9" s="212"/>
      <c r="E9" s="212"/>
      <c r="F9" s="212"/>
      <c r="G9" s="212"/>
      <c r="H9" s="212"/>
      <c r="I9" s="212"/>
      <c r="J9" s="212"/>
      <c r="K9" s="212"/>
      <c r="L9" s="212"/>
      <c r="M9" s="212"/>
      <c r="N9" s="212"/>
      <c r="O9" s="212"/>
      <c r="P9" s="212"/>
      <c r="Q9" s="212"/>
      <c r="R9" s="212"/>
      <c r="S9" s="212"/>
      <c r="T9" s="212"/>
      <c r="U9" s="213"/>
      <c r="W9" s="204"/>
    </row>
    <row r="10" spans="1:27" ht="18" customHeight="1">
      <c r="B10" s="210"/>
      <c r="C10" s="202" t="s">
        <v>1039</v>
      </c>
      <c r="D10" s="212"/>
      <c r="E10" s="212"/>
      <c r="F10" s="212"/>
      <c r="G10" s="212"/>
      <c r="H10" s="212"/>
      <c r="I10" s="212"/>
      <c r="J10" s="212"/>
      <c r="K10" s="212"/>
      <c r="L10" s="212"/>
      <c r="M10" s="212"/>
      <c r="N10" s="212"/>
      <c r="O10" s="212"/>
      <c r="P10" s="212"/>
      <c r="Q10" s="212"/>
      <c r="R10" s="212"/>
      <c r="S10" s="212"/>
      <c r="T10" s="212"/>
      <c r="U10" s="213"/>
      <c r="W10" s="204"/>
    </row>
    <row r="11" spans="1:27" ht="18" customHeight="1">
      <c r="B11" s="210"/>
      <c r="C11" s="202" t="s">
        <v>1047</v>
      </c>
      <c r="D11" s="212"/>
      <c r="E11" s="212"/>
      <c r="F11" s="212"/>
      <c r="G11" s="212"/>
      <c r="H11" s="212"/>
      <c r="I11" s="212"/>
      <c r="J11" s="212"/>
      <c r="K11" s="212"/>
      <c r="L11" s="212"/>
      <c r="M11" s="212"/>
      <c r="N11" s="212"/>
      <c r="O11" s="212"/>
      <c r="P11" s="212"/>
      <c r="Q11" s="212"/>
      <c r="R11" s="212"/>
      <c r="S11" s="212"/>
      <c r="T11" s="212"/>
      <c r="U11" s="213"/>
      <c r="W11" s="204"/>
      <c r="X11" s="504"/>
    </row>
    <row r="12" spans="1:27" ht="18" customHeight="1">
      <c r="B12" s="210"/>
      <c r="C12" s="202" t="s">
        <v>1048</v>
      </c>
      <c r="D12" s="212"/>
      <c r="E12" s="212"/>
      <c r="F12" s="212"/>
      <c r="G12" s="212"/>
      <c r="H12" s="212"/>
      <c r="I12" s="212"/>
      <c r="J12" s="212"/>
      <c r="K12" s="212"/>
      <c r="L12" s="212"/>
      <c r="M12" s="212"/>
      <c r="N12" s="212"/>
      <c r="O12" s="212"/>
      <c r="P12" s="212"/>
      <c r="Q12" s="212"/>
      <c r="R12" s="212"/>
      <c r="S12" s="212"/>
      <c r="T12" s="212"/>
      <c r="U12" s="213"/>
      <c r="W12" s="204"/>
      <c r="X12" s="504"/>
    </row>
    <row r="13" spans="1:27" ht="18" customHeight="1">
      <c r="B13" s="210"/>
      <c r="C13" s="202" t="s">
        <v>1049</v>
      </c>
      <c r="D13" s="212"/>
      <c r="E13" s="212"/>
      <c r="F13" s="212"/>
      <c r="G13" s="212"/>
      <c r="H13" s="212"/>
      <c r="I13" s="212"/>
      <c r="J13" s="212"/>
      <c r="K13" s="212"/>
      <c r="L13" s="212"/>
      <c r="M13" s="212"/>
      <c r="N13" s="212"/>
      <c r="O13" s="212"/>
      <c r="P13" s="212"/>
      <c r="Q13" s="212"/>
      <c r="R13" s="212"/>
      <c r="S13" s="212"/>
      <c r="T13" s="212"/>
      <c r="U13" s="213"/>
      <c r="W13" s="204"/>
      <c r="X13" s="504"/>
    </row>
    <row r="14" spans="1:27" ht="18" customHeight="1">
      <c r="B14" s="210"/>
      <c r="C14" s="202" t="s">
        <v>1050</v>
      </c>
      <c r="D14" s="212"/>
      <c r="E14" s="212"/>
      <c r="F14" s="212"/>
      <c r="G14" s="212"/>
      <c r="H14" s="212"/>
      <c r="I14" s="212"/>
      <c r="J14" s="212"/>
      <c r="K14" s="212"/>
      <c r="L14" s="212"/>
      <c r="M14" s="212"/>
      <c r="N14" s="212"/>
      <c r="O14" s="212"/>
      <c r="P14" s="212"/>
      <c r="Q14" s="212"/>
      <c r="R14" s="212"/>
      <c r="S14" s="212"/>
      <c r="T14" s="212"/>
      <c r="U14" s="213"/>
      <c r="W14" s="204"/>
      <c r="X14" s="504"/>
    </row>
    <row r="15" spans="1:27" ht="18" customHeight="1">
      <c r="B15" s="210"/>
      <c r="C15" s="202" t="s">
        <v>1046</v>
      </c>
      <c r="D15" s="212"/>
      <c r="E15" s="212"/>
      <c r="F15" s="212"/>
      <c r="G15" s="212"/>
      <c r="H15" s="212"/>
      <c r="I15" s="212"/>
      <c r="J15" s="212"/>
      <c r="K15" s="212"/>
      <c r="L15" s="212"/>
      <c r="M15" s="212"/>
      <c r="N15" s="212"/>
      <c r="O15" s="212"/>
      <c r="P15" s="212"/>
      <c r="Q15" s="212"/>
      <c r="R15" s="212"/>
      <c r="S15" s="212"/>
      <c r="T15" s="212"/>
      <c r="U15" s="213"/>
      <c r="W15" s="204"/>
      <c r="X15" s="504"/>
    </row>
    <row r="16" spans="1:27" ht="18" customHeight="1">
      <c r="B16" s="210"/>
      <c r="C16" s="202" t="s">
        <v>267</v>
      </c>
      <c r="D16" s="212"/>
      <c r="E16" s="212"/>
      <c r="F16" s="212"/>
      <c r="G16" s="212"/>
      <c r="H16" s="212"/>
      <c r="I16" s="212"/>
      <c r="J16" s="212"/>
      <c r="K16" s="212"/>
      <c r="L16" s="212"/>
      <c r="M16" s="212"/>
      <c r="N16" s="212"/>
      <c r="O16" s="212"/>
      <c r="P16" s="212"/>
      <c r="Q16" s="212"/>
      <c r="R16" s="212"/>
      <c r="S16" s="212"/>
      <c r="T16" s="212"/>
      <c r="U16" s="213"/>
      <c r="W16" s="204"/>
      <c r="X16" s="504"/>
    </row>
    <row r="17" spans="2:24" ht="18" customHeight="1">
      <c r="B17" s="210"/>
      <c r="C17" s="212" t="s">
        <v>258</v>
      </c>
      <c r="D17" s="212"/>
      <c r="E17" s="212"/>
      <c r="F17" s="212"/>
      <c r="G17" s="212"/>
      <c r="H17" s="212"/>
      <c r="I17" s="212"/>
      <c r="J17" s="212"/>
      <c r="K17" s="212"/>
      <c r="L17" s="212"/>
      <c r="M17" s="212"/>
      <c r="N17" s="212"/>
      <c r="O17" s="212"/>
      <c r="P17" s="212"/>
      <c r="Q17" s="212"/>
      <c r="R17" s="212"/>
      <c r="S17" s="212"/>
      <c r="T17" s="212"/>
      <c r="U17" s="213"/>
      <c r="W17" s="204"/>
      <c r="X17" s="504"/>
    </row>
    <row r="18" spans="2:24" ht="18" customHeight="1">
      <c r="B18" s="210"/>
      <c r="C18" s="212" t="s">
        <v>259</v>
      </c>
      <c r="D18" s="212"/>
      <c r="E18" s="212"/>
      <c r="F18" s="212"/>
      <c r="G18" s="212"/>
      <c r="H18" s="212"/>
      <c r="I18" s="212"/>
      <c r="J18" s="212"/>
      <c r="K18" s="212"/>
      <c r="L18" s="212"/>
      <c r="M18" s="212"/>
      <c r="N18" s="212"/>
      <c r="O18" s="212"/>
      <c r="P18" s="212"/>
      <c r="Q18" s="212"/>
      <c r="R18" s="212"/>
      <c r="S18" s="212"/>
      <c r="T18" s="212"/>
      <c r="U18" s="213"/>
      <c r="W18" s="204"/>
      <c r="X18" s="504"/>
    </row>
    <row r="19" spans="2:24" ht="14" customHeight="1">
      <c r="B19" s="210"/>
      <c r="C19" s="212"/>
      <c r="D19" s="212"/>
      <c r="E19" s="212"/>
      <c r="F19" s="212"/>
      <c r="G19" s="212"/>
      <c r="H19" s="212"/>
      <c r="I19" s="212"/>
      <c r="J19" s="212"/>
      <c r="K19" s="212"/>
      <c r="L19" s="212"/>
      <c r="M19" s="212"/>
      <c r="N19" s="212"/>
      <c r="O19" s="212"/>
      <c r="P19" s="212"/>
      <c r="Q19" s="212"/>
      <c r="R19" s="212"/>
      <c r="S19" s="212"/>
      <c r="T19" s="212"/>
      <c r="U19" s="213"/>
      <c r="W19" s="204"/>
      <c r="X19" s="504"/>
    </row>
    <row r="20" spans="2:24" ht="18" customHeight="1">
      <c r="B20" s="210"/>
      <c r="C20" s="211" t="s">
        <v>444</v>
      </c>
      <c r="D20" s="212"/>
      <c r="E20" s="212"/>
      <c r="F20" s="212"/>
      <c r="G20" s="212"/>
      <c r="H20" s="212"/>
      <c r="I20" s="212"/>
      <c r="J20" s="212"/>
      <c r="K20" s="212"/>
      <c r="L20" s="212"/>
      <c r="M20" s="212"/>
      <c r="N20" s="212"/>
      <c r="O20" s="212"/>
      <c r="P20" s="212"/>
      <c r="Q20" s="212"/>
      <c r="R20" s="212"/>
      <c r="S20" s="212"/>
      <c r="T20" s="212"/>
      <c r="U20" s="213"/>
      <c r="W20" s="204"/>
      <c r="X20" s="504"/>
    </row>
    <row r="21" spans="2:24" ht="6" customHeight="1">
      <c r="B21" s="210"/>
      <c r="C21" s="212"/>
      <c r="D21" s="212"/>
      <c r="E21" s="212"/>
      <c r="F21" s="212"/>
      <c r="G21" s="212"/>
      <c r="H21" s="212"/>
      <c r="I21" s="212"/>
      <c r="J21" s="212"/>
      <c r="K21" s="212"/>
      <c r="L21" s="212"/>
      <c r="M21" s="212"/>
      <c r="N21" s="212"/>
      <c r="O21" s="212"/>
      <c r="P21" s="212"/>
      <c r="Q21" s="212"/>
      <c r="R21" s="212"/>
      <c r="S21" s="212"/>
      <c r="T21" s="212"/>
      <c r="U21" s="213"/>
      <c r="W21" s="204"/>
      <c r="X21" s="504"/>
    </row>
    <row r="22" spans="2:24" ht="18" customHeight="1">
      <c r="B22" s="210"/>
      <c r="C22" s="202" t="s">
        <v>487</v>
      </c>
      <c r="D22" s="212"/>
      <c r="E22" s="212"/>
      <c r="F22" s="212"/>
      <c r="G22" s="212"/>
      <c r="H22" s="212"/>
      <c r="I22" s="212"/>
      <c r="J22" s="212"/>
      <c r="K22" s="212"/>
      <c r="L22" s="212"/>
      <c r="M22" s="212"/>
      <c r="N22" s="212"/>
      <c r="O22" s="212"/>
      <c r="P22" s="212"/>
      <c r="Q22" s="212"/>
      <c r="R22" s="212"/>
      <c r="S22" s="212"/>
      <c r="T22" s="212"/>
      <c r="U22" s="213"/>
      <c r="W22" s="204"/>
      <c r="X22" s="504"/>
    </row>
    <row r="23" spans="2:24" ht="18" customHeight="1">
      <c r="B23" s="210"/>
      <c r="C23" s="212" t="s">
        <v>446</v>
      </c>
      <c r="D23" s="212"/>
      <c r="E23" s="212"/>
      <c r="F23" s="212"/>
      <c r="G23" s="212"/>
      <c r="H23" s="212"/>
      <c r="I23" s="212"/>
      <c r="J23" s="212"/>
      <c r="K23" s="212"/>
      <c r="L23" s="212"/>
      <c r="M23" s="212"/>
      <c r="N23" s="212"/>
      <c r="O23" s="212"/>
      <c r="P23" s="212"/>
      <c r="Q23" s="212"/>
      <c r="R23" s="212"/>
      <c r="S23" s="212"/>
      <c r="T23" s="212"/>
      <c r="U23" s="213"/>
      <c r="W23" s="204"/>
      <c r="X23" s="504"/>
    </row>
    <row r="24" spans="2:24" ht="18" customHeight="1">
      <c r="B24" s="210"/>
      <c r="C24" s="212" t="s">
        <v>447</v>
      </c>
      <c r="D24" s="212"/>
      <c r="E24" s="212"/>
      <c r="F24" s="212"/>
      <c r="G24" s="212"/>
      <c r="H24" s="212"/>
      <c r="I24" s="212"/>
      <c r="J24" s="212"/>
      <c r="K24" s="212"/>
      <c r="L24" s="212"/>
      <c r="M24" s="212"/>
      <c r="N24" s="212"/>
      <c r="O24" s="212"/>
      <c r="P24" s="212"/>
      <c r="Q24" s="212"/>
      <c r="R24" s="212"/>
      <c r="S24" s="212"/>
      <c r="T24" s="212"/>
      <c r="U24" s="213"/>
      <c r="W24" s="204"/>
      <c r="X24" s="504"/>
    </row>
    <row r="25" spans="2:24" ht="14" customHeight="1">
      <c r="B25" s="210"/>
      <c r="C25" s="212"/>
      <c r="D25" s="212"/>
      <c r="E25" s="212"/>
      <c r="F25" s="212"/>
      <c r="G25" s="212"/>
      <c r="H25" s="212"/>
      <c r="I25" s="212"/>
      <c r="J25" s="212"/>
      <c r="K25" s="212"/>
      <c r="L25" s="212"/>
      <c r="M25" s="212"/>
      <c r="N25" s="212"/>
      <c r="O25" s="212"/>
      <c r="P25" s="212"/>
      <c r="Q25" s="212"/>
      <c r="R25" s="212"/>
      <c r="S25" s="212"/>
      <c r="T25" s="212"/>
      <c r="U25" s="213"/>
      <c r="W25" s="204"/>
      <c r="X25" s="504"/>
    </row>
    <row r="26" spans="2:24" ht="18" customHeight="1">
      <c r="B26" s="210"/>
      <c r="C26" s="211" t="s">
        <v>416</v>
      </c>
      <c r="D26" s="212"/>
      <c r="E26" s="212"/>
      <c r="F26" s="212"/>
      <c r="G26" s="212"/>
      <c r="H26" s="212"/>
      <c r="I26" s="212"/>
      <c r="J26" s="212"/>
      <c r="K26" s="212"/>
      <c r="L26" s="212"/>
      <c r="M26" s="212"/>
      <c r="N26" s="212"/>
      <c r="O26" s="212"/>
      <c r="P26" s="212"/>
      <c r="Q26" s="212"/>
      <c r="R26" s="212"/>
      <c r="S26" s="212"/>
      <c r="T26" s="212"/>
      <c r="U26" s="213"/>
      <c r="W26" s="204"/>
      <c r="X26" s="504"/>
    </row>
    <row r="27" spans="2:24" ht="6" customHeight="1">
      <c r="B27" s="210"/>
      <c r="C27" s="212"/>
      <c r="D27" s="212"/>
      <c r="E27" s="212"/>
      <c r="F27" s="212"/>
      <c r="G27" s="212"/>
      <c r="H27" s="212"/>
      <c r="I27" s="212"/>
      <c r="J27" s="212"/>
      <c r="K27" s="212"/>
      <c r="L27" s="212"/>
      <c r="M27" s="212"/>
      <c r="N27" s="212"/>
      <c r="O27" s="212"/>
      <c r="P27" s="212"/>
      <c r="Q27" s="212"/>
      <c r="R27" s="212"/>
      <c r="S27" s="212"/>
      <c r="T27" s="212"/>
      <c r="U27" s="213"/>
      <c r="W27" s="204"/>
      <c r="X27" s="504"/>
    </row>
    <row r="28" spans="2:24" ht="18" customHeight="1">
      <c r="B28" s="210"/>
      <c r="C28" s="202" t="s">
        <v>483</v>
      </c>
      <c r="D28" s="212"/>
      <c r="E28" s="212"/>
      <c r="F28" s="212"/>
      <c r="G28" s="212"/>
      <c r="H28" s="212"/>
      <c r="I28" s="212"/>
      <c r="J28" s="212"/>
      <c r="K28" s="212"/>
      <c r="L28" s="212"/>
      <c r="M28" s="212"/>
      <c r="N28" s="212"/>
      <c r="O28" s="212"/>
      <c r="P28" s="212"/>
      <c r="Q28" s="212"/>
      <c r="R28" s="212"/>
      <c r="S28" s="212"/>
      <c r="T28" s="212"/>
      <c r="U28" s="213"/>
      <c r="W28" s="204"/>
      <c r="X28" s="504"/>
    </row>
    <row r="29" spans="2:24" ht="6" customHeight="1">
      <c r="B29" s="210"/>
      <c r="C29" s="212"/>
      <c r="D29" s="212"/>
      <c r="E29" s="212"/>
      <c r="F29" s="212"/>
      <c r="G29" s="212"/>
      <c r="H29" s="212"/>
      <c r="I29" s="212"/>
      <c r="J29" s="212"/>
      <c r="K29" s="212"/>
      <c r="L29" s="212"/>
      <c r="M29" s="212"/>
      <c r="N29" s="212"/>
      <c r="O29" s="212"/>
      <c r="P29" s="212"/>
      <c r="Q29" s="212"/>
      <c r="R29" s="212"/>
      <c r="S29" s="212"/>
      <c r="T29" s="212"/>
      <c r="U29" s="213"/>
      <c r="W29" s="204"/>
      <c r="X29" s="504"/>
    </row>
    <row r="30" spans="2:24" ht="18" customHeight="1">
      <c r="B30" s="210"/>
      <c r="C30" s="202" t="s">
        <v>1051</v>
      </c>
      <c r="D30" s="214"/>
      <c r="E30" s="202"/>
      <c r="F30" s="202"/>
      <c r="G30" s="202"/>
      <c r="H30" s="202"/>
      <c r="I30" s="202"/>
      <c r="J30" s="202"/>
      <c r="K30" s="202"/>
      <c r="L30" s="202"/>
      <c r="M30" s="202"/>
      <c r="N30" s="212"/>
      <c r="O30" s="212"/>
      <c r="P30" s="212"/>
      <c r="Q30" s="212"/>
      <c r="R30" s="212"/>
      <c r="S30" s="212"/>
      <c r="T30" s="212"/>
      <c r="U30" s="213"/>
      <c r="W30" s="204"/>
      <c r="X30" s="504"/>
    </row>
    <row r="31" spans="2:24" ht="18" customHeight="1">
      <c r="B31" s="210"/>
      <c r="C31" s="202" t="s">
        <v>1052</v>
      </c>
      <c r="D31" s="214"/>
      <c r="E31" s="202"/>
      <c r="F31" s="202"/>
      <c r="G31" s="202"/>
      <c r="H31" s="202"/>
      <c r="I31" s="202"/>
      <c r="J31" s="202"/>
      <c r="K31" s="202"/>
      <c r="L31" s="202"/>
      <c r="M31" s="202"/>
      <c r="N31" s="212"/>
      <c r="O31" s="212"/>
      <c r="P31" s="212"/>
      <c r="Q31" s="212"/>
      <c r="R31" s="212"/>
      <c r="S31" s="212"/>
      <c r="T31" s="212"/>
      <c r="U31" s="213"/>
      <c r="W31" s="204"/>
      <c r="X31" s="504"/>
    </row>
    <row r="32" spans="2:24" ht="18" customHeight="1">
      <c r="B32" s="210"/>
      <c r="C32" s="202" t="s">
        <v>287</v>
      </c>
      <c r="D32" s="214"/>
      <c r="E32" s="202"/>
      <c r="F32" s="202"/>
      <c r="G32" s="202"/>
      <c r="H32" s="202"/>
      <c r="I32" s="202"/>
      <c r="J32" s="202"/>
      <c r="K32" s="202"/>
      <c r="L32" s="202"/>
      <c r="M32" s="202"/>
      <c r="N32" s="212"/>
      <c r="O32" s="212"/>
      <c r="P32" s="212"/>
      <c r="Q32" s="212"/>
      <c r="R32" s="212"/>
      <c r="S32" s="212"/>
      <c r="T32" s="212"/>
      <c r="U32" s="213"/>
      <c r="W32" s="204"/>
      <c r="X32" s="504"/>
    </row>
    <row r="33" spans="2:24" ht="18" customHeight="1">
      <c r="B33" s="210"/>
      <c r="C33" s="202" t="s">
        <v>623</v>
      </c>
      <c r="D33" s="214"/>
      <c r="E33" s="202"/>
      <c r="F33" s="202"/>
      <c r="G33" s="202"/>
      <c r="H33" s="202"/>
      <c r="I33" s="202"/>
      <c r="J33" s="202"/>
      <c r="K33" s="202"/>
      <c r="L33" s="202"/>
      <c r="M33" s="202"/>
      <c r="N33" s="212"/>
      <c r="O33" s="212"/>
      <c r="P33" s="212"/>
      <c r="Q33" s="212"/>
      <c r="R33" s="212"/>
      <c r="S33" s="212"/>
      <c r="T33" s="212"/>
      <c r="U33" s="213"/>
      <c r="W33" s="204"/>
      <c r="X33" s="504"/>
    </row>
    <row r="34" spans="2:24" ht="18" customHeight="1">
      <c r="B34" s="210"/>
      <c r="C34" s="202" t="s">
        <v>1022</v>
      </c>
      <c r="D34" s="214"/>
      <c r="E34" s="202"/>
      <c r="F34" s="202"/>
      <c r="G34" s="202"/>
      <c r="H34" s="202"/>
      <c r="I34" s="202"/>
      <c r="J34" s="202"/>
      <c r="K34" s="202"/>
      <c r="L34" s="202"/>
      <c r="M34" s="202"/>
      <c r="N34" s="212"/>
      <c r="O34" s="212"/>
      <c r="P34" s="212"/>
      <c r="Q34" s="212"/>
      <c r="R34" s="212"/>
      <c r="S34" s="212"/>
      <c r="T34" s="212"/>
      <c r="U34" s="213"/>
      <c r="W34" s="204"/>
      <c r="X34" s="504"/>
    </row>
    <row r="35" spans="2:24" ht="18" customHeight="1">
      <c r="B35" s="210"/>
      <c r="C35" s="202" t="s">
        <v>1013</v>
      </c>
      <c r="D35" s="214"/>
      <c r="E35" s="202"/>
      <c r="F35" s="202"/>
      <c r="G35" s="202"/>
      <c r="H35" s="202"/>
      <c r="I35" s="202"/>
      <c r="J35" s="202"/>
      <c r="K35" s="202"/>
      <c r="L35" s="202"/>
      <c r="M35" s="202"/>
      <c r="N35" s="212"/>
      <c r="O35" s="212"/>
      <c r="P35" s="212"/>
      <c r="Q35" s="212"/>
      <c r="R35" s="212"/>
      <c r="S35" s="212"/>
      <c r="T35" s="212"/>
      <c r="U35" s="213"/>
      <c r="W35" s="204"/>
      <c r="X35" s="504"/>
    </row>
    <row r="36" spans="2:24" ht="18" customHeight="1">
      <c r="B36" s="210"/>
      <c r="C36" s="202" t="s">
        <v>630</v>
      </c>
      <c r="D36" s="214"/>
      <c r="E36" s="202"/>
      <c r="F36" s="202"/>
      <c r="G36" s="202"/>
      <c r="H36" s="202"/>
      <c r="I36" s="202"/>
      <c r="J36" s="202"/>
      <c r="K36" s="202"/>
      <c r="L36" s="202"/>
      <c r="M36" s="202"/>
      <c r="N36" s="212"/>
      <c r="O36" s="212"/>
      <c r="P36" s="212"/>
      <c r="Q36" s="212"/>
      <c r="R36" s="212"/>
      <c r="S36" s="212"/>
      <c r="T36" s="212"/>
      <c r="U36" s="213"/>
      <c r="W36" s="204"/>
      <c r="X36" s="504"/>
    </row>
    <row r="37" spans="2:24" ht="6" customHeight="1">
      <c r="B37" s="210"/>
      <c r="C37" s="202"/>
      <c r="D37" s="214"/>
      <c r="E37" s="202"/>
      <c r="F37" s="202"/>
      <c r="G37" s="202"/>
      <c r="H37" s="202"/>
      <c r="I37" s="202"/>
      <c r="J37" s="202"/>
      <c r="K37" s="202"/>
      <c r="L37" s="202"/>
      <c r="M37" s="202"/>
      <c r="N37" s="212"/>
      <c r="O37" s="212"/>
      <c r="P37" s="212"/>
      <c r="Q37" s="212"/>
      <c r="R37" s="212"/>
      <c r="S37" s="212"/>
      <c r="T37" s="212"/>
      <c r="U37" s="213"/>
      <c r="W37" s="204"/>
      <c r="X37" s="504"/>
    </row>
    <row r="38" spans="2:24" ht="18" customHeight="1">
      <c r="B38" s="210"/>
      <c r="C38" s="202" t="s">
        <v>288</v>
      </c>
      <c r="D38" s="214"/>
      <c r="E38" s="202"/>
      <c r="F38" s="202"/>
      <c r="G38" s="202"/>
      <c r="H38" s="202"/>
      <c r="I38" s="202"/>
      <c r="J38" s="202"/>
      <c r="K38" s="202"/>
      <c r="L38" s="202"/>
      <c r="M38" s="202"/>
      <c r="N38" s="212"/>
      <c r="O38" s="212"/>
      <c r="P38" s="212"/>
      <c r="Q38" s="212"/>
      <c r="R38" s="212"/>
      <c r="S38" s="212"/>
      <c r="T38" s="212"/>
      <c r="U38" s="213"/>
      <c r="W38" s="204"/>
      <c r="X38" s="504"/>
    </row>
    <row r="39" spans="2:24" ht="6" customHeight="1">
      <c r="B39" s="210"/>
      <c r="C39" s="202"/>
      <c r="D39" s="214"/>
      <c r="E39" s="202"/>
      <c r="F39" s="202"/>
      <c r="G39" s="202"/>
      <c r="H39" s="202"/>
      <c r="I39" s="202"/>
      <c r="J39" s="202"/>
      <c r="K39" s="202"/>
      <c r="L39" s="202"/>
      <c r="M39" s="202"/>
      <c r="N39" s="212"/>
      <c r="O39" s="212"/>
      <c r="P39" s="212"/>
      <c r="Q39" s="212"/>
      <c r="R39" s="212"/>
      <c r="S39" s="212"/>
      <c r="T39" s="212"/>
      <c r="U39" s="213"/>
      <c r="W39" s="204"/>
      <c r="X39" s="504"/>
    </row>
    <row r="40" spans="2:24" ht="18" customHeight="1">
      <c r="B40" s="210"/>
      <c r="C40" s="202" t="s">
        <v>252</v>
      </c>
      <c r="D40" s="214"/>
      <c r="E40" s="202"/>
      <c r="F40" s="202"/>
      <c r="G40" s="202"/>
      <c r="H40" s="202"/>
      <c r="I40" s="202"/>
      <c r="J40" s="202"/>
      <c r="K40" s="202"/>
      <c r="L40" s="202"/>
      <c r="M40" s="202"/>
      <c r="N40" s="212"/>
      <c r="O40" s="212"/>
      <c r="P40" s="212"/>
      <c r="Q40" s="212"/>
      <c r="R40" s="212"/>
      <c r="S40" s="212"/>
      <c r="T40" s="212"/>
      <c r="U40" s="213"/>
      <c r="W40" s="204"/>
      <c r="X40" s="504"/>
    </row>
    <row r="41" spans="2:24" ht="14" customHeight="1">
      <c r="B41" s="210"/>
      <c r="C41" s="202"/>
      <c r="D41" s="214"/>
      <c r="E41" s="202"/>
      <c r="F41" s="202"/>
      <c r="G41" s="202"/>
      <c r="H41" s="202"/>
      <c r="I41" s="202"/>
      <c r="J41" s="202"/>
      <c r="K41" s="202"/>
      <c r="L41" s="202"/>
      <c r="M41" s="202"/>
      <c r="N41" s="212"/>
      <c r="O41" s="212"/>
      <c r="P41" s="212"/>
      <c r="Q41" s="212"/>
      <c r="R41" s="212"/>
      <c r="S41" s="212"/>
      <c r="T41" s="212"/>
      <c r="U41" s="213"/>
      <c r="W41" s="204"/>
      <c r="X41" s="504"/>
    </row>
    <row r="42" spans="2:24" ht="18" customHeight="1">
      <c r="B42" s="210"/>
      <c r="C42" s="202" t="s">
        <v>62</v>
      </c>
      <c r="D42" s="202"/>
      <c r="E42" s="202"/>
      <c r="F42" s="202"/>
      <c r="G42" s="202"/>
      <c r="H42" s="202"/>
      <c r="I42" s="202"/>
      <c r="J42" s="202"/>
      <c r="K42" s="1039" t="s">
        <v>18</v>
      </c>
      <c r="L42" s="1039"/>
      <c r="M42" s="215" t="s">
        <v>180</v>
      </c>
      <c r="N42" s="212"/>
      <c r="O42" s="212"/>
      <c r="P42" s="212"/>
      <c r="Q42" s="212"/>
      <c r="R42" s="212"/>
      <c r="S42" s="212"/>
      <c r="T42" s="212"/>
      <c r="U42" s="213"/>
      <c r="W42" s="204"/>
      <c r="X42" s="504"/>
    </row>
    <row r="43" spans="2:24" ht="18" customHeight="1">
      <c r="B43" s="210"/>
      <c r="C43" s="202" t="s">
        <v>63</v>
      </c>
      <c r="D43" s="202"/>
      <c r="E43" s="202"/>
      <c r="F43" s="202"/>
      <c r="G43" s="202"/>
      <c r="H43" s="202"/>
      <c r="I43" s="202"/>
      <c r="J43" s="202"/>
      <c r="K43" s="1040" t="s">
        <v>18</v>
      </c>
      <c r="L43" s="1040"/>
      <c r="M43" s="216" t="s">
        <v>147</v>
      </c>
      <c r="N43" s="212"/>
      <c r="O43" s="212"/>
      <c r="P43" s="212"/>
      <c r="Q43" s="212"/>
      <c r="R43" s="212"/>
      <c r="S43" s="212"/>
      <c r="T43" s="212"/>
      <c r="U43" s="213"/>
      <c r="W43" s="204"/>
      <c r="X43" s="504"/>
    </row>
    <row r="44" spans="2:24" ht="18" customHeight="1">
      <c r="B44" s="210"/>
      <c r="C44" s="202" t="s">
        <v>401</v>
      </c>
      <c r="D44" s="202"/>
      <c r="E44" s="202"/>
      <c r="F44" s="202"/>
      <c r="G44" s="202"/>
      <c r="H44" s="202"/>
      <c r="I44" s="202"/>
      <c r="J44" s="202"/>
      <c r="K44" s="1042" t="s">
        <v>18</v>
      </c>
      <c r="L44" s="1043"/>
      <c r="M44" s="217" t="s">
        <v>455</v>
      </c>
      <c r="N44" s="212"/>
      <c r="O44" s="212"/>
      <c r="P44" s="212"/>
      <c r="Q44" s="212"/>
      <c r="R44" s="212"/>
      <c r="S44" s="212"/>
      <c r="T44" s="212"/>
      <c r="U44" s="213"/>
      <c r="W44" s="204"/>
      <c r="X44" s="504"/>
    </row>
    <row r="45" spans="2:24" ht="18" customHeight="1">
      <c r="B45" s="210"/>
      <c r="C45" s="202" t="s">
        <v>400</v>
      </c>
      <c r="D45" s="202"/>
      <c r="E45" s="202"/>
      <c r="F45" s="202"/>
      <c r="G45" s="202"/>
      <c r="H45" s="202"/>
      <c r="I45" s="202"/>
      <c r="J45" s="202"/>
      <c r="K45" s="1044" t="s">
        <v>18</v>
      </c>
      <c r="L45" s="1045"/>
      <c r="M45" s="217" t="s">
        <v>456</v>
      </c>
      <c r="N45" s="212"/>
      <c r="O45" s="212"/>
      <c r="P45" s="212"/>
      <c r="Q45" s="212"/>
      <c r="R45" s="212"/>
      <c r="S45" s="212"/>
      <c r="T45" s="212"/>
      <c r="U45" s="213"/>
      <c r="W45" s="204"/>
      <c r="X45" s="504"/>
    </row>
    <row r="46" spans="2:24" ht="18" customHeight="1">
      <c r="B46" s="210"/>
      <c r="C46" s="202" t="s">
        <v>254</v>
      </c>
      <c r="D46" s="202"/>
      <c r="E46" s="202"/>
      <c r="F46" s="202"/>
      <c r="G46" s="202"/>
      <c r="H46" s="202"/>
      <c r="I46" s="202"/>
      <c r="J46" s="202"/>
      <c r="K46" s="1041" t="s">
        <v>18</v>
      </c>
      <c r="L46" s="1041"/>
      <c r="M46" s="215" t="s">
        <v>255</v>
      </c>
      <c r="N46" s="212"/>
      <c r="O46" s="212"/>
      <c r="P46" s="212"/>
      <c r="Q46" s="212"/>
      <c r="R46" s="212"/>
      <c r="S46" s="212"/>
      <c r="T46" s="212"/>
      <c r="U46" s="213"/>
      <c r="W46" s="204"/>
      <c r="X46" s="504"/>
    </row>
    <row r="47" spans="2:24" ht="18" customHeight="1">
      <c r="B47" s="210"/>
      <c r="C47" s="212"/>
      <c r="D47" s="212"/>
      <c r="E47" s="212"/>
      <c r="F47" s="212"/>
      <c r="G47" s="212"/>
      <c r="H47" s="212"/>
      <c r="I47" s="212"/>
      <c r="J47" s="212"/>
      <c r="K47" s="212"/>
      <c r="L47" s="212"/>
      <c r="M47" s="212"/>
      <c r="N47" s="212"/>
      <c r="O47" s="212"/>
      <c r="P47" s="212"/>
      <c r="Q47" s="212"/>
      <c r="R47" s="212"/>
      <c r="S47" s="212"/>
      <c r="T47" s="212"/>
      <c r="U47" s="213"/>
      <c r="W47" s="204"/>
      <c r="X47" s="504"/>
    </row>
    <row r="48" spans="2:24" ht="18" customHeight="1">
      <c r="B48" s="210"/>
      <c r="C48" s="211" t="s">
        <v>631</v>
      </c>
      <c r="D48" s="212"/>
      <c r="E48" s="212"/>
      <c r="F48" s="212"/>
      <c r="G48" s="212"/>
      <c r="H48" s="212"/>
      <c r="I48" s="212"/>
      <c r="J48" s="212"/>
      <c r="K48" s="212"/>
      <c r="L48" s="212"/>
      <c r="M48" s="212"/>
      <c r="N48" s="212"/>
      <c r="O48" s="212"/>
      <c r="P48" s="212"/>
      <c r="Q48" s="212"/>
      <c r="R48" s="212"/>
      <c r="S48" s="212"/>
      <c r="T48" s="212"/>
      <c r="U48" s="213"/>
      <c r="W48" s="204"/>
      <c r="X48" s="504"/>
    </row>
    <row r="49" spans="2:24" ht="6" customHeight="1">
      <c r="B49" s="210"/>
      <c r="C49" s="212"/>
      <c r="D49" s="212"/>
      <c r="E49" s="212"/>
      <c r="F49" s="212"/>
      <c r="G49" s="212"/>
      <c r="H49" s="212"/>
      <c r="I49" s="212"/>
      <c r="J49" s="212"/>
      <c r="K49" s="212"/>
      <c r="L49" s="212"/>
      <c r="M49" s="212"/>
      <c r="N49" s="212"/>
      <c r="O49" s="212"/>
      <c r="P49" s="212"/>
      <c r="Q49" s="212"/>
      <c r="R49" s="212"/>
      <c r="S49" s="212"/>
      <c r="T49" s="212"/>
      <c r="U49" s="213"/>
      <c r="W49" s="204"/>
      <c r="X49" s="504"/>
    </row>
    <row r="50" spans="2:24" ht="18" customHeight="1">
      <c r="B50" s="210"/>
      <c r="C50" s="212" t="s">
        <v>1017</v>
      </c>
      <c r="D50" s="212"/>
      <c r="E50" s="212"/>
      <c r="F50" s="212"/>
      <c r="G50" s="212"/>
      <c r="H50" s="212"/>
      <c r="I50" s="212"/>
      <c r="J50" s="212"/>
      <c r="K50" s="212"/>
      <c r="L50" s="212"/>
      <c r="M50" s="212"/>
      <c r="N50" s="212"/>
      <c r="O50" s="212"/>
      <c r="P50" s="212"/>
      <c r="Q50" s="212"/>
      <c r="R50" s="212"/>
      <c r="S50" s="212"/>
      <c r="T50" s="212"/>
      <c r="U50" s="213"/>
      <c r="W50" s="204"/>
      <c r="X50" s="504"/>
    </row>
    <row r="51" spans="2:24" ht="6" customHeight="1">
      <c r="B51" s="210"/>
      <c r="C51" s="212"/>
      <c r="D51" s="212"/>
      <c r="E51" s="212"/>
      <c r="F51" s="212"/>
      <c r="G51" s="212"/>
      <c r="H51" s="212"/>
      <c r="I51" s="212"/>
      <c r="J51" s="212"/>
      <c r="K51" s="212"/>
      <c r="L51" s="212"/>
      <c r="M51" s="212"/>
      <c r="N51" s="212"/>
      <c r="O51" s="212"/>
      <c r="P51" s="212"/>
      <c r="Q51" s="212"/>
      <c r="R51" s="212"/>
      <c r="S51" s="212"/>
      <c r="T51" s="212"/>
      <c r="U51" s="213"/>
      <c r="W51" s="204"/>
      <c r="X51" s="504"/>
    </row>
    <row r="52" spans="2:24" ht="18" customHeight="1">
      <c r="B52" s="210"/>
      <c r="C52" s="202" t="s">
        <v>633</v>
      </c>
      <c r="D52" s="212"/>
      <c r="E52" s="212"/>
      <c r="F52" s="212"/>
      <c r="G52" s="212"/>
      <c r="H52" s="212"/>
      <c r="I52" s="212"/>
      <c r="J52" s="212"/>
      <c r="K52" s="212"/>
      <c r="L52" s="212"/>
      <c r="M52" s="212"/>
      <c r="N52" s="212"/>
      <c r="O52" s="212"/>
      <c r="P52" s="212"/>
      <c r="Q52" s="212"/>
      <c r="R52" s="212"/>
      <c r="S52" s="212"/>
      <c r="T52" s="212"/>
      <c r="U52" s="213"/>
      <c r="W52" s="204"/>
      <c r="X52" s="504"/>
    </row>
    <row r="53" spans="2:24" ht="18" customHeight="1">
      <c r="B53" s="210"/>
      <c r="C53" s="202" t="s">
        <v>910</v>
      </c>
      <c r="D53" s="212"/>
      <c r="E53" s="212"/>
      <c r="F53" s="212"/>
      <c r="G53" s="212"/>
      <c r="H53" s="212"/>
      <c r="I53" s="212"/>
      <c r="J53" s="212"/>
      <c r="K53" s="212"/>
      <c r="L53" s="212"/>
      <c r="M53" s="212"/>
      <c r="N53" s="212"/>
      <c r="O53" s="212"/>
      <c r="P53" s="212"/>
      <c r="Q53" s="212"/>
      <c r="R53" s="212"/>
      <c r="S53" s="212"/>
      <c r="T53" s="212"/>
      <c r="U53" s="213"/>
      <c r="W53" s="204"/>
      <c r="X53" s="504"/>
    </row>
    <row r="54" spans="2:24" ht="18" customHeight="1">
      <c r="B54" s="210"/>
      <c r="C54" s="202" t="s">
        <v>632</v>
      </c>
      <c r="D54" s="212"/>
      <c r="E54" s="212"/>
      <c r="F54" s="212"/>
      <c r="G54" s="212"/>
      <c r="H54" s="212"/>
      <c r="I54" s="212"/>
      <c r="J54" s="212"/>
      <c r="K54" s="212"/>
      <c r="L54" s="212"/>
      <c r="M54" s="212"/>
      <c r="N54" s="212"/>
      <c r="O54" s="212"/>
      <c r="P54" s="212"/>
      <c r="Q54" s="212"/>
      <c r="R54" s="212"/>
      <c r="S54" s="212"/>
      <c r="T54" s="212"/>
      <c r="U54" s="213"/>
      <c r="W54" s="204"/>
      <c r="X54" s="504"/>
    </row>
    <row r="55" spans="2:24" ht="6" customHeight="1">
      <c r="B55" s="210"/>
      <c r="C55" s="202"/>
      <c r="D55" s="212"/>
      <c r="E55" s="212"/>
      <c r="F55" s="212"/>
      <c r="G55" s="212"/>
      <c r="H55" s="212"/>
      <c r="I55" s="212"/>
      <c r="J55" s="212"/>
      <c r="K55" s="212"/>
      <c r="L55" s="212"/>
      <c r="M55" s="212"/>
      <c r="N55" s="212"/>
      <c r="O55" s="212"/>
      <c r="P55" s="212"/>
      <c r="Q55" s="212"/>
      <c r="R55" s="212"/>
      <c r="S55" s="212"/>
      <c r="T55" s="212"/>
      <c r="U55" s="213"/>
      <c r="W55" s="204"/>
      <c r="X55" s="504"/>
    </row>
    <row r="56" spans="2:24" ht="18" customHeight="1">
      <c r="B56" s="210"/>
      <c r="C56" s="212" t="s">
        <v>635</v>
      </c>
      <c r="D56" s="212"/>
      <c r="E56" s="212"/>
      <c r="F56" s="212"/>
      <c r="G56" s="212"/>
      <c r="H56" s="212"/>
      <c r="I56" s="212"/>
      <c r="J56" s="212"/>
      <c r="K56" s="212"/>
      <c r="L56" s="212"/>
      <c r="M56" s="212"/>
      <c r="N56" s="212"/>
      <c r="O56" s="212"/>
      <c r="P56" s="212"/>
      <c r="Q56" s="212"/>
      <c r="R56" s="212"/>
      <c r="S56" s="212"/>
      <c r="T56" s="212"/>
      <c r="U56" s="213"/>
      <c r="W56" s="204"/>
      <c r="X56" s="504"/>
    </row>
    <row r="57" spans="2:24" ht="18" customHeight="1">
      <c r="B57" s="210"/>
      <c r="C57" s="212" t="s">
        <v>668</v>
      </c>
      <c r="D57" s="212"/>
      <c r="E57" s="212"/>
      <c r="F57" s="212"/>
      <c r="G57" s="212"/>
      <c r="H57" s="212"/>
      <c r="I57" s="212"/>
      <c r="J57" s="212"/>
      <c r="K57" s="212"/>
      <c r="L57" s="212"/>
      <c r="M57" s="212"/>
      <c r="N57" s="212"/>
      <c r="O57" s="212"/>
      <c r="P57" s="212"/>
      <c r="Q57" s="212"/>
      <c r="R57" s="212"/>
      <c r="S57" s="212"/>
      <c r="T57" s="212"/>
      <c r="U57" s="213"/>
      <c r="W57" s="204"/>
      <c r="X57" s="504"/>
    </row>
    <row r="58" spans="2:24" ht="6" customHeight="1">
      <c r="B58" s="210"/>
      <c r="C58" s="212"/>
      <c r="D58" s="212"/>
      <c r="E58" s="212"/>
      <c r="F58" s="212"/>
      <c r="G58" s="212"/>
      <c r="H58" s="212"/>
      <c r="I58" s="212"/>
      <c r="J58" s="212"/>
      <c r="K58" s="212"/>
      <c r="L58" s="212"/>
      <c r="M58" s="212"/>
      <c r="N58" s="212"/>
      <c r="O58" s="212"/>
      <c r="P58" s="212"/>
      <c r="Q58" s="212"/>
      <c r="R58" s="212"/>
      <c r="S58" s="212"/>
      <c r="T58" s="212"/>
      <c r="U58" s="213"/>
      <c r="W58" s="204"/>
      <c r="X58" s="504"/>
    </row>
    <row r="59" spans="2:24" ht="18" customHeight="1">
      <c r="B59" s="210"/>
      <c r="C59" s="679" t="s">
        <v>1014</v>
      </c>
      <c r="D59" s="212"/>
      <c r="E59" s="212"/>
      <c r="F59" s="212"/>
      <c r="G59" s="212"/>
      <c r="H59" s="212"/>
      <c r="I59" s="212"/>
      <c r="J59" s="212"/>
      <c r="K59" s="212"/>
      <c r="L59" s="212"/>
      <c r="M59" s="212"/>
      <c r="N59" s="212"/>
      <c r="O59" s="212"/>
      <c r="P59" s="212"/>
      <c r="Q59" s="212"/>
      <c r="R59" s="212"/>
      <c r="S59" s="212"/>
      <c r="T59" s="212"/>
      <c r="U59" s="213"/>
      <c r="W59" s="204"/>
      <c r="X59" s="504"/>
    </row>
    <row r="60" spans="2:24" ht="14" customHeight="1">
      <c r="B60" s="210"/>
      <c r="C60" s="212"/>
      <c r="D60" s="212"/>
      <c r="E60" s="212"/>
      <c r="F60" s="212"/>
      <c r="G60" s="212"/>
      <c r="H60" s="212"/>
      <c r="I60" s="212"/>
      <c r="J60" s="212"/>
      <c r="K60" s="212"/>
      <c r="L60" s="212"/>
      <c r="M60" s="212"/>
      <c r="N60" s="212"/>
      <c r="O60" s="212"/>
      <c r="P60" s="212"/>
      <c r="Q60" s="212"/>
      <c r="R60" s="212"/>
      <c r="S60" s="212"/>
      <c r="T60" s="212"/>
      <c r="U60" s="213"/>
      <c r="W60" s="204"/>
      <c r="X60" s="504"/>
    </row>
    <row r="61" spans="2:24" ht="18" customHeight="1">
      <c r="B61" s="210"/>
      <c r="C61" s="211" t="s">
        <v>415</v>
      </c>
      <c r="D61" s="212"/>
      <c r="E61" s="212"/>
      <c r="F61" s="212"/>
      <c r="G61" s="212"/>
      <c r="H61" s="212"/>
      <c r="I61" s="212"/>
      <c r="J61" s="212"/>
      <c r="K61" s="212"/>
      <c r="L61" s="212"/>
      <c r="M61" s="212"/>
      <c r="N61" s="212"/>
      <c r="O61" s="212"/>
      <c r="P61" s="212"/>
      <c r="Q61" s="212"/>
      <c r="R61" s="212"/>
      <c r="S61" s="212"/>
      <c r="T61" s="212"/>
      <c r="U61" s="213"/>
      <c r="W61" s="204"/>
      <c r="X61" s="504"/>
    </row>
    <row r="62" spans="2:24" ht="6" customHeight="1">
      <c r="B62" s="210"/>
      <c r="C62" s="211"/>
      <c r="D62" s="212"/>
      <c r="E62" s="212"/>
      <c r="F62" s="212"/>
      <c r="G62" s="212"/>
      <c r="H62" s="212"/>
      <c r="I62" s="212"/>
      <c r="J62" s="212"/>
      <c r="K62" s="212"/>
      <c r="L62" s="212"/>
      <c r="M62" s="212"/>
      <c r="N62" s="212"/>
      <c r="O62" s="212"/>
      <c r="P62" s="212"/>
      <c r="Q62" s="212"/>
      <c r="R62" s="212"/>
      <c r="S62" s="212"/>
      <c r="T62" s="212"/>
      <c r="U62" s="213"/>
      <c r="W62" s="204"/>
      <c r="X62" s="504"/>
    </row>
    <row r="63" spans="2:24" ht="18" customHeight="1">
      <c r="B63" s="210"/>
      <c r="C63" s="202" t="s">
        <v>313</v>
      </c>
      <c r="D63" s="212"/>
      <c r="E63" s="212"/>
      <c r="F63" s="212"/>
      <c r="G63" s="212"/>
      <c r="H63" s="212"/>
      <c r="I63" s="212"/>
      <c r="J63" s="212"/>
      <c r="K63" s="212"/>
      <c r="L63" s="212"/>
      <c r="M63" s="212"/>
      <c r="N63" s="212"/>
      <c r="O63" s="212"/>
      <c r="P63" s="212"/>
      <c r="Q63" s="212"/>
      <c r="R63" s="212"/>
      <c r="S63" s="212"/>
      <c r="T63" s="212"/>
      <c r="U63" s="213"/>
      <c r="W63" s="204"/>
      <c r="X63" s="504"/>
    </row>
    <row r="64" spans="2:24" ht="18" customHeight="1">
      <c r="B64" s="210"/>
      <c r="C64" s="202" t="s">
        <v>448</v>
      </c>
      <c r="D64" s="212"/>
      <c r="E64" s="212"/>
      <c r="F64" s="212"/>
      <c r="G64" s="212"/>
      <c r="H64" s="212"/>
      <c r="I64" s="212"/>
      <c r="J64" s="212"/>
      <c r="K64" s="212"/>
      <c r="L64" s="212"/>
      <c r="M64" s="212"/>
      <c r="N64" s="212"/>
      <c r="O64" s="212"/>
      <c r="P64" s="212"/>
      <c r="Q64" s="212"/>
      <c r="R64" s="212"/>
      <c r="S64" s="212"/>
      <c r="T64" s="212"/>
      <c r="U64" s="213"/>
      <c r="W64" s="204"/>
      <c r="X64" s="504"/>
    </row>
    <row r="65" spans="2:24" ht="18" customHeight="1">
      <c r="B65" s="210"/>
      <c r="C65" s="202" t="s">
        <v>417</v>
      </c>
      <c r="D65" s="212"/>
      <c r="E65" s="212"/>
      <c r="F65" s="212"/>
      <c r="G65" s="212"/>
      <c r="H65" s="212"/>
      <c r="I65" s="212"/>
      <c r="J65" s="212"/>
      <c r="K65" s="212"/>
      <c r="L65" s="212"/>
      <c r="M65" s="212"/>
      <c r="N65" s="212"/>
      <c r="O65" s="212"/>
      <c r="P65" s="212"/>
      <c r="Q65" s="212"/>
      <c r="R65" s="212"/>
      <c r="S65" s="212"/>
      <c r="T65" s="212"/>
      <c r="U65" s="213"/>
      <c r="W65" s="204"/>
      <c r="X65" s="504"/>
    </row>
    <row r="66" spans="2:24" ht="14" customHeight="1">
      <c r="B66" s="210"/>
      <c r="C66" s="212"/>
      <c r="D66" s="212"/>
      <c r="E66" s="212"/>
      <c r="F66" s="212"/>
      <c r="G66" s="212"/>
      <c r="H66" s="212"/>
      <c r="I66" s="212"/>
      <c r="J66" s="212"/>
      <c r="K66" s="212"/>
      <c r="L66" s="212"/>
      <c r="M66" s="212"/>
      <c r="N66" s="212"/>
      <c r="O66" s="212"/>
      <c r="P66" s="212"/>
      <c r="Q66" s="212"/>
      <c r="R66" s="212"/>
      <c r="S66" s="212"/>
      <c r="T66" s="212"/>
      <c r="U66" s="213"/>
      <c r="W66" s="204"/>
      <c r="X66" s="504"/>
    </row>
    <row r="67" spans="2:24" ht="18" customHeight="1">
      <c r="B67" s="210"/>
      <c r="C67" s="211" t="s">
        <v>260</v>
      </c>
      <c r="D67" s="212"/>
      <c r="E67" s="212"/>
      <c r="F67" s="212"/>
      <c r="G67" s="212"/>
      <c r="H67" s="212"/>
      <c r="I67" s="212"/>
      <c r="J67" s="212"/>
      <c r="K67" s="212"/>
      <c r="L67" s="212"/>
      <c r="M67" s="212"/>
      <c r="N67" s="212"/>
      <c r="O67" s="212"/>
      <c r="P67" s="212"/>
      <c r="Q67" s="212"/>
      <c r="R67" s="212"/>
      <c r="S67" s="212"/>
      <c r="T67" s="212"/>
      <c r="U67" s="213"/>
      <c r="W67" s="204"/>
      <c r="X67" s="504"/>
    </row>
    <row r="68" spans="2:24" ht="6" customHeight="1">
      <c r="B68" s="210"/>
      <c r="C68" s="212"/>
      <c r="D68" s="212"/>
      <c r="E68" s="212"/>
      <c r="F68" s="212"/>
      <c r="G68" s="212"/>
      <c r="H68" s="212"/>
      <c r="I68" s="212"/>
      <c r="J68" s="212"/>
      <c r="K68" s="212"/>
      <c r="L68" s="212"/>
      <c r="M68" s="212"/>
      <c r="N68" s="212"/>
      <c r="O68" s="212"/>
      <c r="P68" s="212"/>
      <c r="Q68" s="212"/>
      <c r="R68" s="212"/>
      <c r="S68" s="212"/>
      <c r="T68" s="212"/>
      <c r="U68" s="213"/>
      <c r="W68" s="204"/>
      <c r="X68" s="504"/>
    </row>
    <row r="69" spans="2:24" ht="18" customHeight="1">
      <c r="B69" s="210"/>
      <c r="C69" s="212" t="s">
        <v>1070</v>
      </c>
      <c r="D69" s="212"/>
      <c r="E69" s="212"/>
      <c r="F69" s="212"/>
      <c r="G69" s="212"/>
      <c r="H69" s="212"/>
      <c r="I69" s="212"/>
      <c r="J69" s="212"/>
      <c r="K69" s="212"/>
      <c r="L69" s="212"/>
      <c r="M69" s="212"/>
      <c r="N69" s="212"/>
      <c r="O69" s="212"/>
      <c r="P69" s="212"/>
      <c r="Q69" s="212"/>
      <c r="R69" s="212"/>
      <c r="S69" s="212"/>
      <c r="T69" s="212"/>
      <c r="U69" s="213"/>
      <c r="W69" s="204"/>
      <c r="X69" s="504"/>
    </row>
    <row r="70" spans="2:24" ht="18" customHeight="1">
      <c r="B70" s="210"/>
      <c r="C70" s="202" t="s">
        <v>445</v>
      </c>
      <c r="D70" s="212"/>
      <c r="E70" s="212"/>
      <c r="F70" s="212"/>
      <c r="G70" s="212"/>
      <c r="H70" s="212"/>
      <c r="I70" s="212"/>
      <c r="J70" s="212"/>
      <c r="K70" s="212"/>
      <c r="L70" s="212"/>
      <c r="M70" s="212"/>
      <c r="N70" s="212"/>
      <c r="O70" s="212"/>
      <c r="P70" s="212"/>
      <c r="Q70" s="212"/>
      <c r="R70" s="212"/>
      <c r="S70" s="212"/>
      <c r="T70" s="212"/>
      <c r="U70" s="213"/>
      <c r="W70" s="204"/>
      <c r="X70" s="504"/>
    </row>
    <row r="71" spans="2:24" ht="14" customHeight="1">
      <c r="B71" s="218"/>
      <c r="C71" s="219"/>
      <c r="D71" s="219"/>
      <c r="E71" s="219"/>
      <c r="F71" s="219"/>
      <c r="G71" s="219"/>
      <c r="H71" s="219"/>
      <c r="I71" s="219"/>
      <c r="J71" s="219"/>
      <c r="K71" s="219"/>
      <c r="L71" s="219"/>
      <c r="M71" s="219"/>
      <c r="N71" s="219"/>
      <c r="O71" s="219"/>
      <c r="P71" s="219"/>
      <c r="Q71" s="219"/>
      <c r="R71" s="219"/>
      <c r="S71" s="219"/>
      <c r="T71" s="219"/>
      <c r="U71" s="220"/>
      <c r="W71" s="204"/>
      <c r="X71" s="504"/>
    </row>
    <row r="72" spans="2:24" ht="14" customHeight="1">
      <c r="B72" s="210"/>
      <c r="C72" s="212"/>
      <c r="D72" s="212"/>
      <c r="E72" s="212"/>
      <c r="F72" s="212"/>
      <c r="G72" s="212"/>
      <c r="H72" s="212"/>
      <c r="I72" s="212"/>
      <c r="J72" s="212"/>
      <c r="K72" s="514"/>
      <c r="L72" s="513"/>
      <c r="M72" s="212"/>
      <c r="N72" s="212"/>
      <c r="O72" s="212"/>
      <c r="P72" s="212"/>
      <c r="Q72" s="212"/>
      <c r="R72" s="212"/>
      <c r="S72" s="212"/>
      <c r="T72" s="212"/>
      <c r="U72" s="213"/>
      <c r="W72" s="204"/>
      <c r="X72" s="504"/>
    </row>
    <row r="73" spans="2:24" ht="18" customHeight="1">
      <c r="B73" s="210"/>
      <c r="C73" s="211" t="s">
        <v>253</v>
      </c>
      <c r="D73" s="212"/>
      <c r="E73" s="212"/>
      <c r="F73" s="212"/>
      <c r="G73" s="212"/>
      <c r="H73" s="212"/>
      <c r="I73" s="212"/>
      <c r="J73" s="212"/>
      <c r="K73" s="212"/>
      <c r="L73" s="510"/>
      <c r="M73" s="202"/>
      <c r="N73" s="211" t="s">
        <v>215</v>
      </c>
      <c r="O73" s="211"/>
      <c r="P73" s="212"/>
      <c r="Q73" s="212"/>
      <c r="R73" s="212"/>
      <c r="S73" s="212"/>
      <c r="T73" s="212"/>
      <c r="U73" s="213"/>
      <c r="W73" s="204"/>
      <c r="X73" s="504"/>
    </row>
    <row r="74" spans="2:24" ht="14" customHeight="1">
      <c r="B74" s="210"/>
      <c r="C74" s="212"/>
      <c r="D74" s="212"/>
      <c r="E74" s="212"/>
      <c r="F74" s="212"/>
      <c r="G74" s="212"/>
      <c r="H74" s="212"/>
      <c r="I74" s="212"/>
      <c r="J74" s="212"/>
      <c r="K74" s="212"/>
      <c r="L74" s="221"/>
      <c r="M74" s="212"/>
      <c r="N74" s="212"/>
      <c r="O74" s="212"/>
      <c r="P74" s="212"/>
      <c r="Q74" s="212"/>
      <c r="R74" s="212"/>
      <c r="S74" s="212"/>
      <c r="T74" s="212"/>
      <c r="U74" s="213"/>
      <c r="W74" s="204"/>
      <c r="X74" s="504"/>
    </row>
    <row r="75" spans="2:24" ht="18" customHeight="1">
      <c r="B75" s="210"/>
      <c r="C75" s="202"/>
      <c r="D75" s="212"/>
      <c r="E75" s="212"/>
      <c r="F75" s="212"/>
      <c r="G75" s="212"/>
      <c r="H75" s="212"/>
      <c r="I75" s="212"/>
      <c r="J75" s="212"/>
      <c r="K75" s="212"/>
      <c r="L75" s="221"/>
      <c r="M75" s="202"/>
      <c r="N75" s="1046" t="s">
        <v>1037</v>
      </c>
      <c r="O75" s="1046"/>
      <c r="P75" s="1046"/>
      <c r="Q75" s="1046"/>
      <c r="R75" s="1046"/>
      <c r="S75" s="1046"/>
      <c r="T75" s="1046"/>
      <c r="U75" s="213"/>
      <c r="W75" s="204"/>
      <c r="X75" s="504"/>
    </row>
    <row r="76" spans="2:24" ht="31.5" customHeight="1">
      <c r="B76" s="210"/>
      <c r="C76" s="202"/>
      <c r="D76" s="212"/>
      <c r="E76" s="212"/>
      <c r="F76" s="212"/>
      <c r="G76" s="212"/>
      <c r="H76" s="212"/>
      <c r="I76" s="212"/>
      <c r="J76" s="212"/>
      <c r="K76" s="212"/>
      <c r="L76" s="221"/>
      <c r="M76" s="202"/>
      <c r="N76" s="1046"/>
      <c r="O76" s="1046"/>
      <c r="P76" s="1046"/>
      <c r="Q76" s="1046"/>
      <c r="R76" s="1046"/>
      <c r="S76" s="1046"/>
      <c r="T76" s="1046"/>
      <c r="U76" s="213"/>
      <c r="W76" s="204"/>
      <c r="X76" s="504"/>
    </row>
    <row r="77" spans="2:24" ht="24" customHeight="1">
      <c r="B77" s="210"/>
      <c r="C77" s="202"/>
      <c r="D77" s="212"/>
      <c r="E77" s="212"/>
      <c r="F77" s="212"/>
      <c r="G77" s="212"/>
      <c r="H77" s="212"/>
      <c r="I77" s="212"/>
      <c r="J77" s="212"/>
      <c r="K77" s="212"/>
      <c r="L77" s="221"/>
      <c r="M77" s="202"/>
      <c r="N77" s="1021" t="s">
        <v>1036</v>
      </c>
      <c r="O77" s="1022"/>
      <c r="P77" s="1021"/>
      <c r="Q77" s="1047" t="s">
        <v>1035</v>
      </c>
      <c r="R77" s="1047"/>
      <c r="S77" s="1047"/>
      <c r="T77" s="1047"/>
      <c r="U77" s="213"/>
      <c r="W77" s="204"/>
      <c r="X77" s="504"/>
    </row>
    <row r="78" spans="2:24" ht="18" customHeight="1">
      <c r="B78" s="210"/>
      <c r="C78" s="202"/>
      <c r="D78" s="212"/>
      <c r="E78" s="212"/>
      <c r="F78" s="519" t="s">
        <v>499</v>
      </c>
      <c r="G78" s="202"/>
      <c r="H78" s="202"/>
      <c r="I78" s="212"/>
      <c r="J78" s="212"/>
      <c r="K78" s="212"/>
      <c r="L78" s="511"/>
      <c r="M78" s="202"/>
      <c r="N78" s="508"/>
      <c r="O78" s="508"/>
      <c r="P78" s="1019"/>
      <c r="Q78" s="508"/>
      <c r="R78" s="508"/>
      <c r="S78" s="508"/>
      <c r="T78" s="508"/>
      <c r="U78" s="516"/>
      <c r="W78" s="204"/>
      <c r="X78" s="504"/>
    </row>
    <row r="79" spans="2:24" ht="18" customHeight="1">
      <c r="B79" s="210"/>
      <c r="C79" s="202"/>
      <c r="D79" s="212"/>
      <c r="E79" s="212"/>
      <c r="F79" s="520" t="s">
        <v>500</v>
      </c>
      <c r="G79" s="202"/>
      <c r="H79" s="202"/>
      <c r="I79" s="212"/>
      <c r="J79" s="212"/>
      <c r="K79" s="212"/>
      <c r="L79" s="511"/>
      <c r="M79" s="202"/>
      <c r="N79" s="1026" t="s">
        <v>497</v>
      </c>
      <c r="O79" s="1024"/>
      <c r="P79" s="1024"/>
      <c r="Q79" s="508"/>
      <c r="R79" s="508"/>
      <c r="S79" s="508"/>
      <c r="T79" s="508"/>
      <c r="U79" s="516"/>
      <c r="W79" s="204"/>
      <c r="X79" s="504"/>
    </row>
    <row r="80" spans="2:24" ht="18" customHeight="1">
      <c r="B80" s="210"/>
      <c r="C80" s="202"/>
      <c r="D80" s="212"/>
      <c r="E80" s="212"/>
      <c r="F80" s="521" t="s">
        <v>501</v>
      </c>
      <c r="G80" s="202"/>
      <c r="H80" s="202"/>
      <c r="I80" s="212"/>
      <c r="J80" s="212"/>
      <c r="K80" s="212"/>
      <c r="L80" s="512"/>
      <c r="M80" s="508"/>
      <c r="N80" s="1025"/>
      <c r="O80" s="1025"/>
      <c r="P80" s="1024"/>
      <c r="Q80" s="1032" t="s">
        <v>498</v>
      </c>
      <c r="R80" s="1033"/>
      <c r="S80" s="1033"/>
      <c r="T80" s="1033"/>
      <c r="U80" s="516"/>
      <c r="W80" s="204"/>
      <c r="X80" s="504"/>
    </row>
    <row r="81" spans="2:28" ht="14" customHeight="1" thickBot="1">
      <c r="B81" s="222"/>
      <c r="C81" s="223"/>
      <c r="D81" s="223"/>
      <c r="E81" s="223"/>
      <c r="F81" s="223"/>
      <c r="G81" s="223"/>
      <c r="H81" s="223"/>
      <c r="I81" s="223"/>
      <c r="J81" s="223"/>
      <c r="K81" s="223"/>
      <c r="L81" s="515"/>
      <c r="M81" s="509"/>
      <c r="N81" s="509"/>
      <c r="O81" s="509"/>
      <c r="P81" s="1020"/>
      <c r="Q81" s="509"/>
      <c r="R81" s="509"/>
      <c r="S81" s="509"/>
      <c r="T81" s="509"/>
      <c r="U81" s="517"/>
      <c r="W81" s="204"/>
      <c r="X81" s="504"/>
    </row>
    <row r="82" spans="2:28" ht="18" customHeight="1" thickBot="1">
      <c r="B82" s="225"/>
      <c r="C82" s="225"/>
      <c r="D82" s="225"/>
      <c r="E82" s="225"/>
      <c r="F82" s="225"/>
      <c r="G82" s="225"/>
      <c r="H82" s="225"/>
      <c r="I82" s="225"/>
      <c r="J82" s="225"/>
      <c r="K82" s="225"/>
      <c r="L82" s="225"/>
      <c r="M82" s="225"/>
      <c r="N82" s="225"/>
      <c r="O82" s="225"/>
      <c r="P82" s="225"/>
      <c r="Q82" s="225"/>
      <c r="R82" s="225"/>
      <c r="S82" s="225"/>
      <c r="T82" s="225"/>
      <c r="U82" s="226"/>
      <c r="W82" s="204"/>
      <c r="X82" s="504"/>
    </row>
    <row r="83" spans="2:28" ht="32" customHeight="1">
      <c r="B83" s="228"/>
      <c r="C83" s="257" t="s">
        <v>261</v>
      </c>
      <c r="D83" s="677"/>
      <c r="E83" s="677"/>
      <c r="F83" s="677"/>
      <c r="G83" s="677"/>
      <c r="H83" s="677"/>
      <c r="I83" s="677"/>
      <c r="J83" s="677"/>
      <c r="K83" s="677"/>
      <c r="L83" s="677"/>
      <c r="M83" s="677"/>
      <c r="N83" s="677"/>
      <c r="O83" s="677"/>
      <c r="P83" s="677"/>
      <c r="Q83" s="677"/>
      <c r="R83" s="677"/>
      <c r="S83" s="677"/>
      <c r="T83" s="677"/>
      <c r="U83" s="229"/>
      <c r="W83" s="204"/>
      <c r="X83" s="504"/>
    </row>
    <row r="84" spans="2:28" ht="4" customHeight="1">
      <c r="B84" s="230"/>
      <c r="C84" s="231"/>
      <c r="D84" s="232"/>
      <c r="E84" s="232"/>
      <c r="F84" s="232"/>
      <c r="G84" s="232"/>
      <c r="H84" s="232"/>
      <c r="I84" s="232"/>
      <c r="J84" s="232"/>
      <c r="K84" s="232"/>
      <c r="L84" s="232"/>
      <c r="M84" s="232"/>
      <c r="N84" s="232"/>
      <c r="O84" s="232"/>
      <c r="P84" s="232"/>
      <c r="Q84" s="232"/>
      <c r="R84" s="232"/>
      <c r="S84" s="232"/>
      <c r="T84" s="232"/>
      <c r="U84" s="233"/>
      <c r="W84" s="204"/>
      <c r="X84" s="504"/>
    </row>
    <row r="85" spans="2:28" ht="24" customHeight="1">
      <c r="B85" s="271"/>
      <c r="C85" s="305" t="s">
        <v>210</v>
      </c>
      <c r="D85" s="306"/>
      <c r="E85" s="306"/>
      <c r="F85" s="306"/>
      <c r="G85" s="306"/>
      <c r="H85" s="306"/>
      <c r="I85" s="306"/>
      <c r="J85" s="306"/>
      <c r="K85" s="306"/>
      <c r="L85" s="306"/>
      <c r="M85" s="306"/>
      <c r="N85" s="306"/>
      <c r="O85" s="306"/>
      <c r="P85" s="306"/>
      <c r="Q85" s="306"/>
      <c r="R85" s="306"/>
      <c r="S85" s="306"/>
      <c r="T85" s="306"/>
      <c r="U85" s="238"/>
      <c r="W85" s="204"/>
      <c r="X85" s="504"/>
    </row>
    <row r="86" spans="2:28" ht="14" customHeight="1">
      <c r="B86" s="254"/>
      <c r="U86" s="227"/>
      <c r="W86" s="204"/>
      <c r="X86" s="504"/>
    </row>
    <row r="87" spans="2:28" ht="18" customHeight="1">
      <c r="B87" s="254"/>
      <c r="C87" s="203" t="s">
        <v>736</v>
      </c>
      <c r="U87" s="227"/>
      <c r="W87" s="204"/>
      <c r="X87" s="504"/>
    </row>
    <row r="88" spans="2:28" ht="18" customHeight="1">
      <c r="B88" s="254"/>
      <c r="C88" s="203" t="s">
        <v>285</v>
      </c>
      <c r="U88" s="227"/>
      <c r="W88" s="204"/>
      <c r="X88" s="504"/>
    </row>
    <row r="89" spans="2:28" ht="14" customHeight="1">
      <c r="B89" s="254"/>
      <c r="U89" s="227"/>
      <c r="W89" s="204"/>
      <c r="X89" s="504"/>
    </row>
    <row r="90" spans="2:28" ht="18" customHeight="1">
      <c r="B90" s="254"/>
      <c r="C90" s="203" t="s">
        <v>737</v>
      </c>
      <c r="U90" s="227"/>
      <c r="W90" s="204"/>
      <c r="X90" s="504"/>
    </row>
    <row r="91" spans="2:28" ht="18" customHeight="1">
      <c r="B91" s="254"/>
      <c r="C91" s="203" t="s">
        <v>738</v>
      </c>
      <c r="U91" s="227"/>
      <c r="W91" s="204"/>
      <c r="X91" s="504"/>
    </row>
    <row r="92" spans="2:28" ht="18" customHeight="1">
      <c r="B92" s="254"/>
      <c r="C92" s="203" t="s">
        <v>765</v>
      </c>
      <c r="U92" s="227"/>
      <c r="W92" s="204"/>
      <c r="X92" s="504"/>
    </row>
    <row r="93" spans="2:28" ht="14" customHeight="1">
      <c r="B93" s="254"/>
      <c r="U93" s="227"/>
      <c r="W93" s="204"/>
      <c r="X93" s="504"/>
      <c r="AB93" s="1023"/>
    </row>
    <row r="94" spans="2:28" ht="18" customHeight="1">
      <c r="B94" s="254"/>
      <c r="C94" s="203" t="s">
        <v>262</v>
      </c>
      <c r="U94" s="227"/>
      <c r="W94" s="204"/>
      <c r="X94" s="504"/>
    </row>
    <row r="95" spans="2:28" ht="18" customHeight="1">
      <c r="B95" s="254"/>
      <c r="C95" s="203" t="s">
        <v>739</v>
      </c>
      <c r="U95" s="227"/>
      <c r="W95" s="204"/>
      <c r="X95" s="504"/>
    </row>
    <row r="96" spans="2:28" ht="18" customHeight="1">
      <c r="B96" s="254"/>
      <c r="C96" s="203" t="s">
        <v>1040</v>
      </c>
      <c r="U96" s="227"/>
      <c r="W96" s="204"/>
      <c r="X96" s="504"/>
    </row>
    <row r="97" spans="2:24" ht="18" customHeight="1">
      <c r="B97" s="254"/>
      <c r="U97" s="227"/>
      <c r="W97" s="204"/>
      <c r="X97" s="504"/>
    </row>
    <row r="98" spans="2:24" ht="18" customHeight="1">
      <c r="B98" s="254"/>
      <c r="C98" s="678" t="s">
        <v>210</v>
      </c>
      <c r="U98" s="227"/>
      <c r="W98" s="204"/>
      <c r="X98" s="504"/>
    </row>
    <row r="99" spans="2:24" ht="18" customHeight="1">
      <c r="B99" s="254"/>
      <c r="U99" s="227"/>
      <c r="W99" s="204"/>
      <c r="X99" s="504"/>
    </row>
    <row r="100" spans="2:24" ht="18" customHeight="1">
      <c r="B100" s="254"/>
      <c r="U100" s="227"/>
      <c r="W100" s="204"/>
      <c r="X100" s="504"/>
    </row>
    <row r="101" spans="2:24" ht="18" customHeight="1">
      <c r="B101" s="254"/>
      <c r="U101" s="227"/>
      <c r="W101" s="204"/>
      <c r="X101" s="504"/>
    </row>
    <row r="102" spans="2:24" ht="18" customHeight="1">
      <c r="B102" s="254"/>
      <c r="U102" s="227"/>
      <c r="W102" s="204"/>
      <c r="X102" s="504"/>
    </row>
    <row r="103" spans="2:24" ht="18" customHeight="1">
      <c r="B103" s="254"/>
      <c r="U103" s="227"/>
      <c r="W103" s="204"/>
      <c r="X103" s="504"/>
    </row>
    <row r="104" spans="2:24" ht="18" customHeight="1">
      <c r="B104" s="254"/>
      <c r="U104" s="227"/>
      <c r="W104" s="204"/>
      <c r="X104" s="504"/>
    </row>
    <row r="105" spans="2:24" ht="18" customHeight="1">
      <c r="B105" s="254"/>
      <c r="U105" s="227"/>
      <c r="W105" s="204"/>
      <c r="X105" s="504"/>
    </row>
    <row r="106" spans="2:24" ht="18" customHeight="1">
      <c r="B106" s="254"/>
      <c r="U106" s="227"/>
      <c r="W106" s="204"/>
      <c r="X106" s="504"/>
    </row>
    <row r="107" spans="2:24" ht="18" customHeight="1">
      <c r="B107" s="254"/>
      <c r="U107" s="227"/>
      <c r="W107" s="204"/>
      <c r="X107" s="504"/>
    </row>
    <row r="108" spans="2:24" ht="18" customHeight="1">
      <c r="B108" s="254"/>
      <c r="U108" s="227"/>
      <c r="W108" s="204"/>
      <c r="X108" s="504"/>
    </row>
    <row r="109" spans="2:24" ht="18" customHeight="1">
      <c r="B109" s="254"/>
      <c r="U109" s="227"/>
      <c r="W109" s="204"/>
      <c r="X109" s="504"/>
    </row>
    <row r="110" spans="2:24" ht="18" customHeight="1">
      <c r="B110" s="254"/>
      <c r="U110" s="227"/>
      <c r="W110" s="204"/>
      <c r="X110" s="504"/>
    </row>
    <row r="111" spans="2:24" ht="18" customHeight="1">
      <c r="B111" s="254"/>
      <c r="U111" s="227"/>
      <c r="W111" s="204"/>
      <c r="X111" s="504"/>
    </row>
    <row r="112" spans="2:24" ht="18" customHeight="1">
      <c r="B112" s="254"/>
      <c r="U112" s="227"/>
      <c r="W112" s="204"/>
      <c r="X112" s="504"/>
    </row>
    <row r="113" spans="2:24" ht="18" customHeight="1">
      <c r="B113" s="254"/>
      <c r="U113" s="227"/>
      <c r="W113" s="204"/>
      <c r="X113" s="504"/>
    </row>
    <row r="114" spans="2:24" ht="18" customHeight="1">
      <c r="B114" s="254"/>
      <c r="U114" s="227"/>
      <c r="W114" s="204"/>
      <c r="X114" s="504"/>
    </row>
    <row r="115" spans="2:24" ht="18" customHeight="1">
      <c r="B115" s="254"/>
      <c r="U115" s="227"/>
      <c r="W115" s="204"/>
      <c r="X115" s="504"/>
    </row>
    <row r="116" spans="2:24" ht="18" customHeight="1">
      <c r="B116" s="254"/>
      <c r="U116" s="227"/>
      <c r="W116" s="204"/>
      <c r="X116" s="504"/>
    </row>
    <row r="117" spans="2:24" ht="18" customHeight="1">
      <c r="B117" s="254"/>
      <c r="U117" s="227"/>
      <c r="W117" s="204"/>
      <c r="X117" s="504"/>
    </row>
    <row r="118" spans="2:24" ht="18" customHeight="1">
      <c r="B118" s="254"/>
      <c r="U118" s="227"/>
      <c r="W118" s="204"/>
      <c r="X118" s="504"/>
    </row>
    <row r="119" spans="2:24" ht="18" customHeight="1">
      <c r="B119" s="254"/>
      <c r="U119" s="227"/>
      <c r="W119" s="204"/>
      <c r="X119" s="504"/>
    </row>
    <row r="120" spans="2:24" ht="18" customHeight="1">
      <c r="B120" s="254"/>
      <c r="U120" s="227"/>
      <c r="W120" s="204"/>
      <c r="X120" s="504"/>
    </row>
    <row r="121" spans="2:24" ht="18" customHeight="1">
      <c r="B121" s="254"/>
      <c r="U121" s="227"/>
      <c r="W121" s="204"/>
      <c r="X121" s="504"/>
    </row>
    <row r="122" spans="2:24" ht="18" customHeight="1">
      <c r="B122" s="254"/>
      <c r="U122" s="227"/>
      <c r="W122" s="204"/>
      <c r="X122" s="504"/>
    </row>
    <row r="123" spans="2:24" ht="18" customHeight="1">
      <c r="B123" s="254"/>
      <c r="U123" s="227"/>
      <c r="W123" s="204"/>
      <c r="X123" s="504"/>
    </row>
    <row r="124" spans="2:24" ht="18" customHeight="1">
      <c r="B124" s="254"/>
      <c r="U124" s="227"/>
      <c r="W124" s="204"/>
      <c r="X124" s="504"/>
    </row>
    <row r="125" spans="2:24" ht="18" customHeight="1">
      <c r="B125" s="254"/>
      <c r="U125" s="227"/>
      <c r="W125" s="204"/>
      <c r="X125" s="504"/>
    </row>
    <row r="126" spans="2:24" ht="18" customHeight="1">
      <c r="B126" s="254"/>
      <c r="U126" s="227"/>
      <c r="W126" s="204"/>
      <c r="X126" s="504"/>
    </row>
    <row r="127" spans="2:24" ht="18" customHeight="1">
      <c r="B127" s="254"/>
      <c r="U127" s="227"/>
      <c r="W127" s="204"/>
      <c r="X127" s="504"/>
    </row>
    <row r="128" spans="2:24" ht="18" customHeight="1">
      <c r="B128" s="254"/>
      <c r="U128" s="227"/>
      <c r="W128" s="204"/>
      <c r="X128" s="504"/>
    </row>
    <row r="129" spans="2:24" ht="18" customHeight="1">
      <c r="B129" s="254"/>
      <c r="U129" s="227"/>
      <c r="W129" s="204"/>
      <c r="X129" s="504"/>
    </row>
    <row r="130" spans="2:24" ht="18" customHeight="1">
      <c r="B130" s="254"/>
      <c r="U130" s="227"/>
      <c r="W130" s="204"/>
      <c r="X130" s="504"/>
    </row>
    <row r="131" spans="2:24" ht="18" customHeight="1">
      <c r="B131" s="254"/>
      <c r="U131" s="227"/>
      <c r="W131" s="204"/>
      <c r="X131" s="504"/>
    </row>
    <row r="132" spans="2:24" ht="18" customHeight="1">
      <c r="B132" s="254"/>
      <c r="U132" s="227"/>
      <c r="W132" s="204"/>
      <c r="X132" s="504"/>
    </row>
    <row r="133" spans="2:24" ht="18" customHeight="1">
      <c r="B133" s="254"/>
      <c r="U133" s="227"/>
      <c r="W133" s="204"/>
      <c r="X133" s="504"/>
    </row>
    <row r="134" spans="2:24" ht="18" customHeight="1">
      <c r="B134" s="254"/>
      <c r="U134" s="227"/>
      <c r="W134" s="204"/>
      <c r="X134" s="504"/>
    </row>
    <row r="135" spans="2:24" ht="18" customHeight="1">
      <c r="B135" s="254"/>
      <c r="U135" s="227"/>
      <c r="W135" s="204"/>
      <c r="X135" s="504"/>
    </row>
    <row r="136" spans="2:24" ht="18" customHeight="1">
      <c r="B136" s="254"/>
      <c r="U136" s="227"/>
      <c r="W136" s="204"/>
      <c r="X136" s="504"/>
    </row>
    <row r="137" spans="2:24" ht="18" customHeight="1">
      <c r="B137" s="254"/>
      <c r="U137" s="227"/>
      <c r="W137" s="204"/>
      <c r="X137" s="504"/>
    </row>
    <row r="138" spans="2:24" ht="18" customHeight="1">
      <c r="B138" s="254"/>
      <c r="U138" s="227"/>
      <c r="W138" s="204"/>
      <c r="X138" s="504"/>
    </row>
    <row r="139" spans="2:24" ht="18" customHeight="1">
      <c r="B139" s="254"/>
      <c r="U139" s="227"/>
      <c r="W139" s="204"/>
      <c r="X139" s="504"/>
    </row>
    <row r="140" spans="2:24" ht="18" customHeight="1">
      <c r="B140" s="254"/>
      <c r="U140" s="227"/>
      <c r="W140" s="204"/>
      <c r="X140" s="504"/>
    </row>
    <row r="141" spans="2:24" ht="18" customHeight="1">
      <c r="B141" s="254"/>
      <c r="U141" s="227"/>
      <c r="W141" s="204"/>
      <c r="X141" s="504"/>
    </row>
    <row r="142" spans="2:24" ht="18" customHeight="1">
      <c r="B142" s="254"/>
      <c r="U142" s="227"/>
      <c r="W142" s="204"/>
      <c r="X142" s="504"/>
    </row>
    <row r="143" spans="2:24" ht="18" customHeight="1">
      <c r="B143" s="254"/>
      <c r="U143" s="227"/>
      <c r="W143" s="204"/>
      <c r="X143" s="504"/>
    </row>
    <row r="144" spans="2:24" ht="18" customHeight="1">
      <c r="B144" s="254"/>
      <c r="U144" s="227"/>
      <c r="W144" s="204"/>
      <c r="X144" s="504"/>
    </row>
    <row r="145" spans="2:24" ht="18" customHeight="1">
      <c r="B145" s="254"/>
      <c r="U145" s="227"/>
      <c r="W145" s="204"/>
      <c r="X145" s="504"/>
    </row>
    <row r="146" spans="2:24" ht="18" customHeight="1">
      <c r="B146" s="254"/>
      <c r="U146" s="227"/>
      <c r="W146" s="204"/>
      <c r="X146" s="504"/>
    </row>
    <row r="147" spans="2:24" ht="18" customHeight="1">
      <c r="B147" s="254"/>
      <c r="U147" s="227"/>
      <c r="W147" s="204"/>
      <c r="X147" s="504"/>
    </row>
    <row r="148" spans="2:24" ht="18" customHeight="1">
      <c r="B148" s="254"/>
      <c r="U148" s="227"/>
      <c r="W148" s="204"/>
      <c r="X148" s="504"/>
    </row>
    <row r="149" spans="2:24" ht="18" customHeight="1">
      <c r="B149" s="254"/>
      <c r="U149" s="227"/>
      <c r="W149" s="204"/>
      <c r="X149" s="504"/>
    </row>
    <row r="150" spans="2:24" ht="18" customHeight="1">
      <c r="B150" s="254"/>
      <c r="U150" s="227"/>
      <c r="W150" s="204"/>
      <c r="X150" s="504"/>
    </row>
    <row r="151" spans="2:24" ht="18" customHeight="1">
      <c r="B151" s="254"/>
      <c r="U151" s="227"/>
      <c r="W151" s="204"/>
      <c r="X151" s="504"/>
    </row>
    <row r="152" spans="2:24" ht="18" customHeight="1">
      <c r="B152" s="254"/>
      <c r="U152" s="227"/>
      <c r="W152" s="204"/>
      <c r="X152" s="504"/>
    </row>
    <row r="153" spans="2:24" ht="18" customHeight="1">
      <c r="B153" s="254"/>
      <c r="U153" s="227"/>
      <c r="W153" s="204"/>
      <c r="X153" s="504"/>
    </row>
    <row r="154" spans="2:24" ht="18" customHeight="1">
      <c r="B154" s="254"/>
      <c r="U154" s="227"/>
      <c r="W154" s="204"/>
      <c r="X154" s="504"/>
    </row>
    <row r="155" spans="2:24" ht="18" customHeight="1">
      <c r="B155" s="254"/>
      <c r="U155" s="227"/>
      <c r="W155" s="204"/>
      <c r="X155" s="504"/>
    </row>
    <row r="156" spans="2:24" ht="18" customHeight="1">
      <c r="B156" s="254"/>
      <c r="U156" s="227"/>
      <c r="W156" s="204"/>
      <c r="X156" s="504"/>
    </row>
    <row r="157" spans="2:24" ht="18" customHeight="1">
      <c r="B157" s="254"/>
      <c r="U157" s="227"/>
      <c r="W157" s="204"/>
      <c r="X157" s="504"/>
    </row>
    <row r="158" spans="2:24" ht="18" customHeight="1">
      <c r="B158" s="236"/>
      <c r="C158" s="237"/>
      <c r="D158" s="237"/>
      <c r="E158" s="237"/>
      <c r="F158" s="237"/>
      <c r="G158" s="237"/>
      <c r="H158" s="237"/>
      <c r="I158" s="237"/>
      <c r="J158" s="237"/>
      <c r="K158" s="237"/>
      <c r="L158" s="237"/>
      <c r="M158" s="237"/>
      <c r="N158" s="237"/>
      <c r="O158" s="237"/>
      <c r="P158" s="237"/>
      <c r="Q158" s="237"/>
      <c r="R158" s="237"/>
      <c r="S158" s="237"/>
      <c r="T158" s="237"/>
      <c r="U158" s="239"/>
      <c r="W158" s="204"/>
      <c r="X158" s="504"/>
    </row>
    <row r="159" spans="2:24" ht="24" customHeight="1">
      <c r="B159" s="271"/>
      <c r="C159" s="305" t="s">
        <v>209</v>
      </c>
      <c r="D159" s="306"/>
      <c r="E159" s="306"/>
      <c r="F159" s="306"/>
      <c r="G159" s="306"/>
      <c r="H159" s="306"/>
      <c r="I159" s="306"/>
      <c r="J159" s="306"/>
      <c r="K159" s="306"/>
      <c r="L159" s="306"/>
      <c r="M159" s="306"/>
      <c r="N159" s="306"/>
      <c r="O159" s="306"/>
      <c r="P159" s="306"/>
      <c r="Q159" s="306"/>
      <c r="R159" s="306"/>
      <c r="S159" s="306"/>
      <c r="T159" s="306"/>
      <c r="U159" s="238"/>
      <c r="W159" s="204"/>
      <c r="X159" s="504"/>
    </row>
    <row r="160" spans="2:24" ht="14" customHeight="1">
      <c r="B160" s="254"/>
      <c r="U160" s="227"/>
      <c r="W160" s="204"/>
      <c r="X160" s="504"/>
    </row>
    <row r="161" spans="2:24" ht="18" customHeight="1">
      <c r="B161" s="254"/>
      <c r="C161" s="203" t="s">
        <v>265</v>
      </c>
      <c r="U161" s="227"/>
      <c r="W161" s="204"/>
      <c r="X161" s="504"/>
    </row>
    <row r="162" spans="2:24" ht="18" customHeight="1">
      <c r="B162" s="254"/>
      <c r="C162" s="203" t="s">
        <v>270</v>
      </c>
      <c r="U162" s="227"/>
      <c r="W162" s="204"/>
      <c r="X162" s="504"/>
    </row>
    <row r="163" spans="2:24" ht="18" customHeight="1">
      <c r="B163" s="254"/>
      <c r="C163" s="203" t="s">
        <v>266</v>
      </c>
      <c r="U163" s="227"/>
      <c r="W163" s="204"/>
      <c r="X163" s="504"/>
    </row>
    <row r="164" spans="2:24" ht="14" customHeight="1">
      <c r="B164" s="254"/>
      <c r="U164" s="227"/>
      <c r="W164" s="204"/>
      <c r="X164" s="504"/>
    </row>
    <row r="165" spans="2:24" ht="18" customHeight="1">
      <c r="B165" s="254"/>
      <c r="C165" s="1028" t="s">
        <v>1053</v>
      </c>
      <c r="D165" s="1029"/>
      <c r="E165" s="1029"/>
      <c r="F165" s="1029"/>
      <c r="G165" s="1029"/>
      <c r="H165" s="1029"/>
      <c r="I165" s="1029"/>
      <c r="J165" s="1029"/>
      <c r="K165" s="1029"/>
      <c r="L165" s="1029"/>
      <c r="M165" s="1029"/>
      <c r="N165" s="1029"/>
      <c r="O165" s="1029"/>
      <c r="P165" s="1029"/>
      <c r="Q165" s="1029"/>
      <c r="R165" s="1029"/>
      <c r="S165" s="1029"/>
      <c r="T165" s="1029"/>
      <c r="U165" s="227"/>
      <c r="W165" s="204"/>
      <c r="X165" s="504"/>
    </row>
    <row r="166" spans="2:24" ht="18" customHeight="1">
      <c r="B166" s="254"/>
      <c r="U166" s="227"/>
      <c r="W166" s="204"/>
      <c r="X166" s="504"/>
    </row>
    <row r="167" spans="2:24" ht="18" customHeight="1">
      <c r="B167" s="254"/>
      <c r="C167" s="678" t="s">
        <v>209</v>
      </c>
      <c r="U167" s="227"/>
      <c r="W167" s="204"/>
      <c r="X167" s="504"/>
    </row>
    <row r="168" spans="2:24" ht="18" customHeight="1">
      <c r="B168" s="254"/>
      <c r="U168" s="227"/>
      <c r="W168" s="204"/>
      <c r="X168" s="504"/>
    </row>
    <row r="169" spans="2:24" ht="18" customHeight="1">
      <c r="B169" s="254"/>
      <c r="U169" s="227"/>
      <c r="W169" s="204"/>
      <c r="X169" s="504"/>
    </row>
    <row r="170" spans="2:24" ht="18" customHeight="1">
      <c r="B170" s="254"/>
      <c r="U170" s="227"/>
      <c r="W170" s="204"/>
      <c r="X170" s="504"/>
    </row>
    <row r="171" spans="2:24" ht="18" customHeight="1">
      <c r="B171" s="254"/>
      <c r="U171" s="227"/>
      <c r="W171" s="204"/>
      <c r="X171" s="504"/>
    </row>
    <row r="172" spans="2:24" ht="18" customHeight="1">
      <c r="B172" s="254"/>
      <c r="U172" s="227"/>
      <c r="W172" s="204"/>
      <c r="X172" s="504"/>
    </row>
    <row r="173" spans="2:24" ht="18" customHeight="1">
      <c r="B173" s="254"/>
      <c r="U173" s="227"/>
      <c r="W173" s="204"/>
      <c r="X173" s="504"/>
    </row>
    <row r="174" spans="2:24" ht="18" customHeight="1">
      <c r="B174" s="254"/>
      <c r="U174" s="227"/>
      <c r="W174" s="204"/>
      <c r="X174" s="504"/>
    </row>
    <row r="175" spans="2:24" ht="18" customHeight="1">
      <c r="B175" s="254"/>
      <c r="U175" s="227"/>
      <c r="W175" s="204"/>
      <c r="X175" s="504"/>
    </row>
    <row r="176" spans="2:24" ht="18" customHeight="1">
      <c r="B176" s="254"/>
      <c r="U176" s="227"/>
      <c r="W176" s="204"/>
      <c r="X176" s="504"/>
    </row>
    <row r="177" spans="2:24" ht="18" customHeight="1">
      <c r="B177" s="254"/>
      <c r="U177" s="227"/>
      <c r="W177" s="204"/>
      <c r="X177" s="504"/>
    </row>
    <row r="178" spans="2:24" ht="18" customHeight="1">
      <c r="B178" s="254"/>
      <c r="U178" s="227"/>
      <c r="W178" s="204"/>
      <c r="X178" s="504"/>
    </row>
    <row r="179" spans="2:24" ht="18" customHeight="1">
      <c r="B179" s="254"/>
      <c r="U179" s="227"/>
      <c r="W179" s="204"/>
      <c r="X179" s="504"/>
    </row>
    <row r="180" spans="2:24" ht="18" customHeight="1">
      <c r="B180" s="254"/>
      <c r="U180" s="227"/>
      <c r="W180" s="204"/>
      <c r="X180" s="504"/>
    </row>
    <row r="181" spans="2:24" ht="18" customHeight="1">
      <c r="B181" s="254"/>
      <c r="U181" s="227"/>
      <c r="W181" s="204"/>
      <c r="X181" s="504"/>
    </row>
    <row r="182" spans="2:24" ht="18" customHeight="1">
      <c r="B182" s="254"/>
      <c r="U182" s="227"/>
      <c r="W182" s="204"/>
      <c r="X182" s="504"/>
    </row>
    <row r="183" spans="2:24" ht="18" customHeight="1">
      <c r="B183" s="254"/>
      <c r="U183" s="227"/>
      <c r="W183" s="204"/>
      <c r="X183" s="504"/>
    </row>
    <row r="184" spans="2:24" ht="18" customHeight="1">
      <c r="B184" s="254"/>
      <c r="U184" s="227"/>
      <c r="W184" s="204"/>
      <c r="X184" s="504"/>
    </row>
    <row r="185" spans="2:24" ht="18" customHeight="1">
      <c r="B185" s="254"/>
      <c r="U185" s="227"/>
      <c r="W185" s="204"/>
      <c r="X185" s="504"/>
    </row>
    <row r="186" spans="2:24" ht="18" customHeight="1">
      <c r="B186" s="254"/>
      <c r="U186" s="227"/>
      <c r="W186" s="204"/>
      <c r="X186" s="504"/>
    </row>
    <row r="187" spans="2:24" ht="18" customHeight="1">
      <c r="B187" s="254"/>
      <c r="U187" s="227"/>
      <c r="W187" s="204"/>
      <c r="X187" s="504"/>
    </row>
    <row r="188" spans="2:24" ht="18" customHeight="1">
      <c r="B188" s="254"/>
      <c r="U188" s="227"/>
      <c r="W188" s="204"/>
      <c r="X188" s="504"/>
    </row>
    <row r="189" spans="2:24" ht="18" customHeight="1">
      <c r="B189" s="254"/>
      <c r="U189" s="227"/>
      <c r="W189" s="204"/>
      <c r="X189" s="504"/>
    </row>
    <row r="190" spans="2:24" ht="18" customHeight="1">
      <c r="B190" s="254"/>
      <c r="U190" s="227"/>
      <c r="W190" s="204"/>
      <c r="X190" s="504"/>
    </row>
    <row r="191" spans="2:24" ht="18" customHeight="1">
      <c r="B191" s="254"/>
      <c r="U191" s="227"/>
      <c r="W191" s="204"/>
      <c r="X191" s="504"/>
    </row>
    <row r="192" spans="2:24" ht="18" customHeight="1">
      <c r="B192" s="254"/>
      <c r="U192" s="227"/>
      <c r="W192" s="204"/>
      <c r="X192" s="504"/>
    </row>
    <row r="193" spans="2:24" ht="18" customHeight="1">
      <c r="B193" s="236"/>
      <c r="C193" s="237"/>
      <c r="D193" s="237"/>
      <c r="E193" s="237"/>
      <c r="F193" s="237"/>
      <c r="G193" s="237"/>
      <c r="H193" s="237"/>
      <c r="I193" s="237"/>
      <c r="J193" s="237"/>
      <c r="K193" s="237"/>
      <c r="L193" s="237"/>
      <c r="M193" s="237"/>
      <c r="N193" s="237"/>
      <c r="O193" s="237"/>
      <c r="P193" s="237"/>
      <c r="Q193" s="237"/>
      <c r="R193" s="237"/>
      <c r="S193" s="237"/>
      <c r="T193" s="237"/>
      <c r="U193" s="239"/>
      <c r="W193" s="204"/>
      <c r="X193" s="504"/>
    </row>
    <row r="194" spans="2:24" ht="24" customHeight="1">
      <c r="B194" s="271"/>
      <c r="C194" s="305" t="s">
        <v>1062</v>
      </c>
      <c r="D194" s="306"/>
      <c r="E194" s="306"/>
      <c r="F194" s="306"/>
      <c r="G194" s="306"/>
      <c r="H194" s="306"/>
      <c r="I194" s="306"/>
      <c r="J194" s="306"/>
      <c r="K194" s="306"/>
      <c r="L194" s="306"/>
      <c r="M194" s="306"/>
      <c r="N194" s="306"/>
      <c r="O194" s="306"/>
      <c r="P194" s="306"/>
      <c r="Q194" s="306"/>
      <c r="R194" s="306"/>
      <c r="S194" s="306"/>
      <c r="T194" s="306"/>
      <c r="U194" s="238"/>
      <c r="W194" s="204"/>
      <c r="X194" s="504"/>
    </row>
    <row r="195" spans="2:24" ht="18" customHeight="1">
      <c r="B195" s="254"/>
      <c r="U195" s="227"/>
      <c r="W195" s="204"/>
      <c r="X195" s="504"/>
    </row>
    <row r="196" spans="2:24" ht="18" customHeight="1">
      <c r="B196" s="254"/>
      <c r="U196" s="227"/>
      <c r="W196" s="204"/>
      <c r="X196" s="504"/>
    </row>
    <row r="197" spans="2:24" ht="18" customHeight="1">
      <c r="B197" s="254"/>
      <c r="U197" s="227"/>
      <c r="W197" s="204"/>
      <c r="X197" s="504"/>
    </row>
    <row r="198" spans="2:24" ht="18" customHeight="1">
      <c r="B198" s="254"/>
      <c r="U198" s="227"/>
      <c r="W198" s="204"/>
      <c r="X198" s="504"/>
    </row>
    <row r="199" spans="2:24" ht="18" customHeight="1">
      <c r="B199" s="254"/>
      <c r="U199" s="227"/>
      <c r="W199" s="204"/>
      <c r="X199" s="504"/>
    </row>
    <row r="200" spans="2:24" ht="18" customHeight="1">
      <c r="B200" s="254"/>
      <c r="U200" s="227"/>
      <c r="W200" s="204"/>
      <c r="X200" s="504"/>
    </row>
    <row r="201" spans="2:24" ht="18" customHeight="1">
      <c r="B201" s="254"/>
      <c r="U201" s="227"/>
      <c r="W201" s="204"/>
      <c r="X201" s="504"/>
    </row>
    <row r="202" spans="2:24" ht="18" customHeight="1">
      <c r="B202" s="254"/>
      <c r="U202" s="227"/>
      <c r="W202" s="204"/>
      <c r="X202" s="504"/>
    </row>
    <row r="203" spans="2:24" ht="18" customHeight="1">
      <c r="B203" s="254"/>
      <c r="U203" s="227"/>
      <c r="W203" s="204"/>
      <c r="X203" s="504"/>
    </row>
    <row r="204" spans="2:24" ht="18" customHeight="1">
      <c r="B204" s="254"/>
      <c r="U204" s="227"/>
      <c r="W204" s="204"/>
      <c r="X204" s="504"/>
    </row>
    <row r="205" spans="2:24" ht="18" customHeight="1">
      <c r="B205" s="254"/>
      <c r="U205" s="227"/>
      <c r="W205" s="204"/>
      <c r="X205" s="504"/>
    </row>
    <row r="206" spans="2:24" ht="18" customHeight="1">
      <c r="B206" s="254"/>
      <c r="U206" s="227"/>
      <c r="W206" s="204"/>
      <c r="X206" s="504"/>
    </row>
    <row r="207" spans="2:24" ht="18" customHeight="1">
      <c r="B207" s="254"/>
      <c r="U207" s="227"/>
      <c r="W207" s="204"/>
      <c r="X207" s="504"/>
    </row>
    <row r="208" spans="2:24" ht="18" customHeight="1">
      <c r="B208" s="254"/>
      <c r="U208" s="227"/>
      <c r="W208" s="204"/>
      <c r="X208" s="504"/>
    </row>
    <row r="209" spans="2:24" ht="18" customHeight="1">
      <c r="B209" s="254"/>
      <c r="U209" s="227"/>
      <c r="W209" s="204"/>
      <c r="X209" s="504"/>
    </row>
    <row r="210" spans="2:24" ht="18" customHeight="1">
      <c r="B210" s="254"/>
      <c r="U210" s="227"/>
      <c r="W210" s="204"/>
      <c r="X210" s="504"/>
    </row>
    <row r="211" spans="2:24" ht="18" customHeight="1">
      <c r="B211" s="254"/>
      <c r="U211" s="227"/>
      <c r="W211" s="204"/>
      <c r="X211" s="504"/>
    </row>
    <row r="212" spans="2:24" ht="18" customHeight="1">
      <c r="B212" s="254"/>
      <c r="U212" s="227"/>
      <c r="W212" s="204"/>
      <c r="X212" s="504"/>
    </row>
    <row r="213" spans="2:24" ht="18" customHeight="1">
      <c r="B213" s="254"/>
      <c r="U213" s="227"/>
      <c r="W213" s="204"/>
      <c r="X213" s="504"/>
    </row>
    <row r="214" spans="2:24" ht="18" customHeight="1">
      <c r="B214" s="254"/>
      <c r="U214" s="227"/>
      <c r="W214" s="204"/>
      <c r="X214" s="504"/>
    </row>
    <row r="215" spans="2:24" ht="18" customHeight="1">
      <c r="B215" s="254"/>
      <c r="U215" s="227"/>
      <c r="W215" s="204"/>
      <c r="X215" s="504"/>
    </row>
    <row r="216" spans="2:24" ht="18" customHeight="1">
      <c r="B216" s="254"/>
      <c r="U216" s="227"/>
      <c r="W216" s="204"/>
      <c r="X216" s="504"/>
    </row>
    <row r="217" spans="2:24" ht="18" customHeight="1">
      <c r="B217" s="254"/>
      <c r="U217" s="227"/>
      <c r="W217" s="204"/>
      <c r="X217" s="504"/>
    </row>
    <row r="218" spans="2:24" ht="18" customHeight="1">
      <c r="B218" s="254"/>
      <c r="U218" s="227"/>
      <c r="W218" s="204"/>
      <c r="X218" s="504"/>
    </row>
    <row r="219" spans="2:24" ht="18" customHeight="1">
      <c r="B219" s="254"/>
      <c r="U219" s="227"/>
      <c r="W219" s="204"/>
      <c r="X219" s="504"/>
    </row>
    <row r="220" spans="2:24" ht="18" customHeight="1">
      <c r="B220" s="254"/>
      <c r="U220" s="227"/>
      <c r="W220" s="204"/>
      <c r="X220" s="504"/>
    </row>
    <row r="221" spans="2:24" ht="18" customHeight="1">
      <c r="B221" s="254"/>
      <c r="U221" s="227"/>
      <c r="W221" s="204"/>
      <c r="X221" s="504"/>
    </row>
    <row r="222" spans="2:24" ht="18" customHeight="1">
      <c r="B222" s="254"/>
      <c r="U222" s="227"/>
      <c r="W222" s="204"/>
      <c r="X222" s="504"/>
    </row>
    <row r="223" spans="2:24" ht="18" customHeight="1">
      <c r="B223" s="254"/>
      <c r="U223" s="227"/>
      <c r="W223" s="204"/>
      <c r="X223" s="504"/>
    </row>
    <row r="224" spans="2:24" ht="18" customHeight="1">
      <c r="B224" s="254"/>
      <c r="U224" s="227"/>
      <c r="W224" s="204"/>
      <c r="X224" s="504"/>
    </row>
    <row r="225" spans="2:24" ht="18" customHeight="1">
      <c r="B225" s="254"/>
      <c r="U225" s="227"/>
      <c r="W225" s="204"/>
      <c r="X225" s="504"/>
    </row>
    <row r="226" spans="2:24" ht="18" customHeight="1">
      <c r="B226" s="254"/>
      <c r="U226" s="227"/>
      <c r="W226" s="204"/>
      <c r="X226" s="504"/>
    </row>
    <row r="227" spans="2:24" ht="18" customHeight="1">
      <c r="B227" s="254"/>
      <c r="U227" s="227"/>
      <c r="W227" s="204"/>
      <c r="X227" s="504"/>
    </row>
    <row r="228" spans="2:24" ht="18" customHeight="1">
      <c r="B228" s="254"/>
      <c r="U228" s="227"/>
      <c r="W228" s="204"/>
      <c r="X228" s="504"/>
    </row>
    <row r="229" spans="2:24" ht="18" customHeight="1">
      <c r="B229" s="254"/>
      <c r="U229" s="227"/>
      <c r="W229" s="204"/>
      <c r="X229" s="504"/>
    </row>
    <row r="230" spans="2:24" ht="18" customHeight="1">
      <c r="B230" s="254"/>
      <c r="U230" s="227"/>
      <c r="W230" s="204"/>
      <c r="X230" s="504"/>
    </row>
    <row r="231" spans="2:24" ht="18" customHeight="1">
      <c r="B231" s="254"/>
      <c r="U231" s="227"/>
      <c r="W231" s="204"/>
      <c r="X231" s="504"/>
    </row>
    <row r="232" spans="2:24" ht="18" customHeight="1">
      <c r="B232" s="254"/>
      <c r="U232" s="227"/>
      <c r="W232" s="204"/>
      <c r="X232" s="504"/>
    </row>
    <row r="233" spans="2:24" ht="18" customHeight="1">
      <c r="B233" s="254"/>
      <c r="U233" s="227"/>
      <c r="W233" s="204"/>
      <c r="X233" s="504"/>
    </row>
    <row r="234" spans="2:24" ht="18" customHeight="1">
      <c r="B234" s="254"/>
      <c r="U234" s="227"/>
      <c r="W234" s="204"/>
      <c r="X234" s="504"/>
    </row>
    <row r="235" spans="2:24" ht="18" customHeight="1">
      <c r="B235" s="254"/>
      <c r="U235" s="227"/>
      <c r="W235" s="204"/>
      <c r="X235" s="504"/>
    </row>
    <row r="236" spans="2:24" ht="18" customHeight="1">
      <c r="B236" s="254"/>
      <c r="U236" s="227"/>
      <c r="W236" s="204"/>
      <c r="X236" s="504"/>
    </row>
    <row r="237" spans="2:24" ht="18" customHeight="1">
      <c r="B237" s="254"/>
      <c r="U237" s="227"/>
      <c r="W237" s="204"/>
      <c r="X237" s="504"/>
    </row>
    <row r="238" spans="2:24" ht="18" customHeight="1">
      <c r="B238" s="254"/>
      <c r="U238" s="227"/>
      <c r="W238" s="204"/>
      <c r="X238" s="504"/>
    </row>
    <row r="239" spans="2:24" ht="18" customHeight="1">
      <c r="B239" s="254"/>
      <c r="U239" s="227"/>
      <c r="W239" s="204"/>
      <c r="X239" s="504"/>
    </row>
    <row r="240" spans="2:24" ht="18" customHeight="1">
      <c r="B240" s="254"/>
      <c r="U240" s="227"/>
      <c r="W240" s="204"/>
      <c r="X240" s="504"/>
    </row>
    <row r="241" spans="2:24" ht="18" customHeight="1">
      <c r="B241" s="254"/>
      <c r="U241" s="227"/>
      <c r="W241" s="204"/>
      <c r="X241" s="504"/>
    </row>
    <row r="242" spans="2:24" ht="18" customHeight="1">
      <c r="B242" s="254"/>
      <c r="U242" s="227"/>
      <c r="W242" s="204"/>
      <c r="X242" s="504"/>
    </row>
    <row r="243" spans="2:24" ht="18" customHeight="1">
      <c r="B243" s="254"/>
      <c r="U243" s="227"/>
      <c r="W243" s="204"/>
      <c r="X243" s="504"/>
    </row>
    <row r="244" spans="2:24" ht="18" customHeight="1">
      <c r="B244" s="254"/>
      <c r="U244" s="227"/>
      <c r="W244" s="204"/>
      <c r="X244" s="504"/>
    </row>
    <row r="245" spans="2:24" ht="18" customHeight="1">
      <c r="B245" s="254"/>
      <c r="U245" s="227"/>
      <c r="W245" s="204"/>
      <c r="X245" s="504"/>
    </row>
    <row r="246" spans="2:24" ht="18" customHeight="1">
      <c r="B246" s="254"/>
      <c r="U246" s="227"/>
      <c r="W246" s="204"/>
      <c r="X246" s="504"/>
    </row>
    <row r="247" spans="2:24" ht="18" customHeight="1">
      <c r="B247" s="254"/>
      <c r="U247" s="227"/>
      <c r="W247" s="204"/>
      <c r="X247" s="504"/>
    </row>
    <row r="248" spans="2:24" ht="18" customHeight="1">
      <c r="B248" s="254"/>
      <c r="U248" s="227"/>
      <c r="W248" s="204"/>
      <c r="X248" s="504"/>
    </row>
    <row r="249" spans="2:24" ht="18" customHeight="1">
      <c r="B249" s="254"/>
      <c r="U249" s="227"/>
      <c r="W249" s="204"/>
      <c r="X249" s="504"/>
    </row>
    <row r="250" spans="2:24" ht="18" customHeight="1">
      <c r="B250" s="254"/>
      <c r="U250" s="227"/>
      <c r="W250" s="204"/>
      <c r="X250" s="504"/>
    </row>
    <row r="251" spans="2:24" ht="18" customHeight="1">
      <c r="B251" s="254"/>
      <c r="U251" s="227"/>
      <c r="W251" s="204"/>
      <c r="X251" s="504"/>
    </row>
    <row r="252" spans="2:24" ht="18" customHeight="1">
      <c r="B252" s="254"/>
      <c r="U252" s="227"/>
      <c r="W252" s="204"/>
      <c r="X252" s="504"/>
    </row>
    <row r="253" spans="2:24" ht="18" customHeight="1">
      <c r="B253" s="254"/>
      <c r="U253" s="227"/>
      <c r="W253" s="204"/>
      <c r="X253" s="504"/>
    </row>
    <row r="254" spans="2:24" ht="18" customHeight="1">
      <c r="B254" s="254"/>
      <c r="U254" s="227"/>
      <c r="W254" s="204"/>
      <c r="X254" s="504"/>
    </row>
    <row r="255" spans="2:24" ht="18" customHeight="1">
      <c r="B255" s="254"/>
      <c r="U255" s="227"/>
      <c r="W255" s="204"/>
      <c r="X255" s="504"/>
    </row>
    <row r="256" spans="2:24" ht="18" customHeight="1">
      <c r="B256" s="254"/>
      <c r="U256" s="227"/>
      <c r="W256" s="204"/>
      <c r="X256" s="504"/>
    </row>
    <row r="257" spans="1:24" ht="18" customHeight="1">
      <c r="B257" s="254"/>
      <c r="U257" s="227"/>
      <c r="W257" s="204"/>
      <c r="X257" s="504"/>
    </row>
    <row r="258" spans="1:24" ht="18" customHeight="1">
      <c r="B258" s="254"/>
      <c r="U258" s="227"/>
      <c r="W258" s="204"/>
      <c r="X258" s="504"/>
    </row>
    <row r="259" spans="1:24" ht="18" customHeight="1">
      <c r="B259" s="254"/>
      <c r="U259" s="227"/>
      <c r="W259" s="204"/>
      <c r="X259" s="504"/>
    </row>
    <row r="260" spans="1:24" ht="18" customHeight="1">
      <c r="B260" s="254"/>
      <c r="U260" s="227"/>
      <c r="W260" s="204"/>
      <c r="X260" s="504"/>
    </row>
    <row r="261" spans="1:24" ht="18" customHeight="1">
      <c r="B261" s="254"/>
      <c r="U261" s="227"/>
      <c r="W261" s="204"/>
      <c r="X261" s="504"/>
    </row>
    <row r="262" spans="1:24" ht="18" customHeight="1">
      <c r="B262" s="254"/>
      <c r="U262" s="227"/>
      <c r="W262" s="204"/>
      <c r="X262" s="504"/>
    </row>
    <row r="263" spans="1:24" ht="18" customHeight="1">
      <c r="B263" s="254"/>
      <c r="U263" s="227"/>
      <c r="W263" s="204"/>
      <c r="X263" s="504"/>
    </row>
    <row r="264" spans="1:24" ht="18" customHeight="1">
      <c r="B264" s="254"/>
      <c r="U264" s="227"/>
      <c r="W264" s="204"/>
      <c r="X264" s="504"/>
    </row>
    <row r="265" spans="1:24" ht="18" customHeight="1">
      <c r="B265" s="254"/>
      <c r="U265" s="227"/>
      <c r="W265" s="204"/>
      <c r="X265" s="504"/>
    </row>
    <row r="266" spans="1:24" ht="18" customHeight="1">
      <c r="B266" s="254"/>
      <c r="U266" s="227"/>
      <c r="W266" s="204"/>
      <c r="X266" s="504"/>
    </row>
    <row r="267" spans="1:24" ht="18" customHeight="1">
      <c r="B267" s="254"/>
      <c r="U267" s="227"/>
      <c r="W267" s="204"/>
      <c r="X267" s="504"/>
    </row>
    <row r="268" spans="1:24" ht="18" customHeight="1">
      <c r="B268" s="254"/>
      <c r="U268" s="227"/>
      <c r="W268" s="204"/>
      <c r="X268" s="504"/>
    </row>
    <row r="269" spans="1:24" ht="18" customHeight="1" thickBot="1">
      <c r="B269" s="255"/>
      <c r="C269" s="240"/>
      <c r="D269" s="240"/>
      <c r="E269" s="240"/>
      <c r="F269" s="240"/>
      <c r="G269" s="240"/>
      <c r="H269" s="240"/>
      <c r="I269" s="240"/>
      <c r="J269" s="240"/>
      <c r="K269" s="240"/>
      <c r="L269" s="240"/>
      <c r="M269" s="240"/>
      <c r="N269" s="240"/>
      <c r="O269" s="240"/>
      <c r="P269" s="240"/>
      <c r="Q269" s="240"/>
      <c r="R269" s="240"/>
      <c r="S269" s="240"/>
      <c r="T269" s="240"/>
      <c r="U269" s="241"/>
      <c r="W269" s="204"/>
      <c r="X269" s="504"/>
    </row>
    <row r="270" spans="1:24" ht="10" customHeight="1">
      <c r="W270" s="204"/>
      <c r="X270" s="504"/>
    </row>
    <row r="271" spans="1:24" ht="4.5" customHeight="1">
      <c r="A271" s="204"/>
      <c r="B271" s="204"/>
      <c r="C271" s="204"/>
      <c r="D271" s="204"/>
      <c r="E271" s="204"/>
      <c r="F271" s="204"/>
      <c r="G271" s="204"/>
      <c r="H271" s="204"/>
      <c r="I271" s="204"/>
      <c r="J271" s="204"/>
      <c r="K271" s="204"/>
      <c r="L271" s="204"/>
      <c r="M271" s="204"/>
      <c r="N271" s="204"/>
      <c r="O271" s="204"/>
      <c r="P271" s="204"/>
      <c r="Q271" s="204"/>
      <c r="R271" s="204"/>
      <c r="S271" s="204"/>
      <c r="T271" s="204"/>
      <c r="U271" s="204"/>
      <c r="V271" s="204"/>
      <c r="W271" s="204"/>
      <c r="X271" s="504"/>
    </row>
    <row r="272" spans="1:24" ht="45" customHeight="1">
      <c r="A272" s="504"/>
      <c r="B272" s="504"/>
      <c r="C272" s="504"/>
      <c r="D272" s="504"/>
      <c r="E272" s="504"/>
      <c r="F272" s="1035" t="s">
        <v>701</v>
      </c>
      <c r="G272" s="1035"/>
      <c r="H272" s="1035"/>
      <c r="I272" s="1035"/>
      <c r="J272" s="1035"/>
      <c r="K272" s="1035"/>
      <c r="L272" s="1035"/>
      <c r="M272" s="1035"/>
      <c r="N272" s="1035"/>
      <c r="O272" s="1035"/>
      <c r="P272" s="1035"/>
      <c r="Q272" s="504"/>
      <c r="R272" s="504"/>
      <c r="S272" s="504"/>
      <c r="T272" s="504"/>
      <c r="U272" s="504"/>
      <c r="V272" s="504"/>
      <c r="W272" s="504"/>
      <c r="X272" s="504"/>
    </row>
    <row r="273" spans="1:27" s="505" customFormat="1" ht="26.25" customHeight="1">
      <c r="Y273" s="203"/>
      <c r="Z273" s="203"/>
      <c r="AA273" s="203"/>
    </row>
    <row r="275" spans="1:27" ht="18" customHeight="1">
      <c r="A275" s="505"/>
    </row>
    <row r="276" spans="1:27" ht="18" customHeight="1">
      <c r="B276" s="500" t="s">
        <v>495</v>
      </c>
    </row>
    <row r="277" spans="1:27" ht="18" customHeight="1">
      <c r="B277" s="499" t="s">
        <v>488</v>
      </c>
    </row>
    <row r="278" spans="1:27" ht="18" customHeight="1">
      <c r="B278" s="501" t="s">
        <v>489</v>
      </c>
      <c r="C278" s="498" t="s">
        <v>494</v>
      </c>
    </row>
    <row r="279" spans="1:27" ht="18" customHeight="1">
      <c r="B279" s="501" t="s">
        <v>489</v>
      </c>
      <c r="C279" s="498" t="s">
        <v>490</v>
      </c>
    </row>
    <row r="280" spans="1:27" ht="18" customHeight="1">
      <c r="B280" s="499" t="s">
        <v>700</v>
      </c>
    </row>
    <row r="281" spans="1:27" ht="18" customHeight="1">
      <c r="B281" s="501" t="s">
        <v>489</v>
      </c>
      <c r="C281" s="498" t="s">
        <v>496</v>
      </c>
    </row>
    <row r="282" spans="1:27" ht="18" customHeight="1">
      <c r="B282" s="501" t="s">
        <v>489</v>
      </c>
      <c r="C282" s="498" t="s">
        <v>883</v>
      </c>
    </row>
    <row r="283" spans="1:27" ht="18" customHeight="1">
      <c r="B283" s="501" t="s">
        <v>489</v>
      </c>
      <c r="C283" s="498" t="s">
        <v>627</v>
      </c>
    </row>
    <row r="284" spans="1:27" ht="18" customHeight="1">
      <c r="B284" s="501" t="s">
        <v>489</v>
      </c>
      <c r="C284" s="498" t="s">
        <v>673</v>
      </c>
    </row>
    <row r="285" spans="1:27" ht="18" customHeight="1">
      <c r="B285" s="501" t="s">
        <v>489</v>
      </c>
      <c r="C285" s="498" t="s">
        <v>690</v>
      </c>
    </row>
    <row r="286" spans="1:27" ht="18" customHeight="1">
      <c r="B286" s="501" t="s">
        <v>489</v>
      </c>
      <c r="C286" s="498" t="s">
        <v>674</v>
      </c>
    </row>
    <row r="287" spans="1:27" ht="18" customHeight="1">
      <c r="B287" s="501" t="s">
        <v>489</v>
      </c>
      <c r="C287" s="498" t="s">
        <v>629</v>
      </c>
    </row>
    <row r="288" spans="1:27" ht="18" customHeight="1">
      <c r="B288" s="499" t="s">
        <v>775</v>
      </c>
    </row>
    <row r="289" spans="2:3" ht="18" customHeight="1">
      <c r="B289" s="501" t="s">
        <v>489</v>
      </c>
      <c r="C289" s="498" t="s">
        <v>1063</v>
      </c>
    </row>
    <row r="290" spans="2:3" ht="18" customHeight="1">
      <c r="B290" s="501" t="s">
        <v>489</v>
      </c>
      <c r="C290" s="498" t="s">
        <v>772</v>
      </c>
    </row>
    <row r="291" spans="2:3" ht="18" customHeight="1">
      <c r="B291" s="501" t="s">
        <v>489</v>
      </c>
      <c r="C291" s="498" t="s">
        <v>702</v>
      </c>
    </row>
    <row r="292" spans="2:3" ht="18" customHeight="1">
      <c r="B292" s="501" t="s">
        <v>489</v>
      </c>
      <c r="C292" s="498" t="s">
        <v>708</v>
      </c>
    </row>
    <row r="293" spans="2:3" ht="18" customHeight="1">
      <c r="B293" s="501" t="s">
        <v>489</v>
      </c>
      <c r="C293" s="498" t="s">
        <v>735</v>
      </c>
    </row>
    <row r="294" spans="2:3" ht="18" customHeight="1">
      <c r="B294" s="501" t="s">
        <v>489</v>
      </c>
      <c r="C294" s="498" t="s">
        <v>773</v>
      </c>
    </row>
    <row r="295" spans="2:3" ht="18" customHeight="1">
      <c r="B295" s="499" t="s">
        <v>872</v>
      </c>
      <c r="C295"/>
    </row>
    <row r="296" spans="2:3" ht="18" customHeight="1">
      <c r="B296" s="501" t="s">
        <v>489</v>
      </c>
      <c r="C296" s="498" t="s">
        <v>801</v>
      </c>
    </row>
    <row r="297" spans="2:3" ht="18" customHeight="1">
      <c r="B297" s="501" t="s">
        <v>489</v>
      </c>
      <c r="C297" s="498" t="s">
        <v>861</v>
      </c>
    </row>
    <row r="298" spans="2:3" ht="18" customHeight="1">
      <c r="B298" s="501" t="s">
        <v>489</v>
      </c>
      <c r="C298" s="498" t="s">
        <v>862</v>
      </c>
    </row>
    <row r="299" spans="2:3" ht="18" customHeight="1">
      <c r="B299" s="501" t="s">
        <v>489</v>
      </c>
      <c r="C299" s="498" t="s">
        <v>802</v>
      </c>
    </row>
    <row r="300" spans="2:3" ht="18" customHeight="1">
      <c r="B300" s="501" t="s">
        <v>489</v>
      </c>
      <c r="C300" s="498" t="s">
        <v>803</v>
      </c>
    </row>
    <row r="301" spans="2:3" ht="18" customHeight="1">
      <c r="B301" s="501" t="s">
        <v>489</v>
      </c>
      <c r="C301" s="498" t="s">
        <v>787</v>
      </c>
    </row>
    <row r="302" spans="2:3" ht="18" customHeight="1">
      <c r="B302" s="501" t="s">
        <v>489</v>
      </c>
      <c r="C302" s="498" t="s">
        <v>804</v>
      </c>
    </row>
    <row r="303" spans="2:3" ht="18" customHeight="1">
      <c r="B303" s="499" t="s">
        <v>909</v>
      </c>
      <c r="C303"/>
    </row>
    <row r="304" spans="2:3" ht="18" customHeight="1">
      <c r="B304" s="501" t="s">
        <v>489</v>
      </c>
      <c r="C304" s="498" t="s">
        <v>882</v>
      </c>
    </row>
    <row r="305" spans="2:3" ht="18" customHeight="1">
      <c r="B305" s="501" t="s">
        <v>489</v>
      </c>
      <c r="C305" s="498" t="s">
        <v>884</v>
      </c>
    </row>
    <row r="306" spans="2:3" ht="18" customHeight="1">
      <c r="B306" s="501" t="s">
        <v>489</v>
      </c>
      <c r="C306" s="498" t="s">
        <v>891</v>
      </c>
    </row>
    <row r="307" spans="2:3" ht="18" customHeight="1">
      <c r="B307" s="501" t="s">
        <v>489</v>
      </c>
      <c r="C307" s="498" t="s">
        <v>901</v>
      </c>
    </row>
    <row r="308" spans="2:3" ht="18" customHeight="1">
      <c r="B308" s="501" t="s">
        <v>489</v>
      </c>
      <c r="C308" s="498" t="s">
        <v>1074</v>
      </c>
    </row>
    <row r="309" spans="2:3" ht="18" customHeight="1">
      <c r="B309" s="501" t="s">
        <v>489</v>
      </c>
      <c r="C309" s="498" t="s">
        <v>906</v>
      </c>
    </row>
    <row r="310" spans="2:3" ht="18" customHeight="1">
      <c r="B310" s="501" t="s">
        <v>489</v>
      </c>
      <c r="C310" s="498" t="s">
        <v>907</v>
      </c>
    </row>
    <row r="311" spans="2:3" ht="18" customHeight="1">
      <c r="B311" s="499" t="s">
        <v>1024</v>
      </c>
      <c r="C311"/>
    </row>
    <row r="312" spans="2:3" ht="18" customHeight="1">
      <c r="B312" s="501" t="s">
        <v>489</v>
      </c>
      <c r="C312" s="498" t="s">
        <v>1031</v>
      </c>
    </row>
    <row r="313" spans="2:3" ht="18" customHeight="1">
      <c r="B313" s="501" t="s">
        <v>489</v>
      </c>
      <c r="C313" s="498" t="s">
        <v>1032</v>
      </c>
    </row>
    <row r="314" spans="2:3" ht="18" customHeight="1">
      <c r="B314" s="501" t="s">
        <v>489</v>
      </c>
      <c r="C314" s="498" t="s">
        <v>1033</v>
      </c>
    </row>
    <row r="315" spans="2:3" ht="18" customHeight="1">
      <c r="B315" s="501" t="s">
        <v>489</v>
      </c>
      <c r="C315" s="498" t="s">
        <v>1021</v>
      </c>
    </row>
    <row r="316" spans="2:3" ht="18" customHeight="1">
      <c r="B316" s="501" t="s">
        <v>489</v>
      </c>
      <c r="C316" s="498" t="s">
        <v>1023</v>
      </c>
    </row>
    <row r="317" spans="2:3" ht="18" customHeight="1">
      <c r="B317" s="499" t="s">
        <v>1061</v>
      </c>
      <c r="C317"/>
    </row>
    <row r="318" spans="2:3" ht="18" customHeight="1">
      <c r="B318" s="501" t="s">
        <v>489</v>
      </c>
      <c r="C318" s="498" t="s">
        <v>1058</v>
      </c>
    </row>
    <row r="319" spans="2:3" ht="18" customHeight="1">
      <c r="B319" s="501" t="s">
        <v>489</v>
      </c>
      <c r="C319" s="498" t="s">
        <v>1038</v>
      </c>
    </row>
    <row r="320" spans="2:3" ht="18" customHeight="1">
      <c r="B320" s="501" t="s">
        <v>489</v>
      </c>
      <c r="C320" s="498" t="s">
        <v>1034</v>
      </c>
    </row>
    <row r="321" spans="2:3" ht="18" customHeight="1">
      <c r="B321" s="499" t="s">
        <v>1073</v>
      </c>
      <c r="C321"/>
    </row>
    <row r="322" spans="2:3" ht="18" customHeight="1">
      <c r="B322" s="501" t="s">
        <v>489</v>
      </c>
      <c r="C322" s="498" t="s">
        <v>1075</v>
      </c>
    </row>
    <row r="323" spans="2:3" ht="18" customHeight="1">
      <c r="B323" s="501" t="s">
        <v>489</v>
      </c>
      <c r="C323" s="498" t="s">
        <v>1076</v>
      </c>
    </row>
  </sheetData>
  <sheetProtection algorithmName="SHA-512" hashValue="pbe+nJuDi2D3vedFeT2mOEdhR+9UdN8II69b3XMOlUPF/GhbLgUEYhS8dhzeUrq87qFi4lBFxGX2h2hCiIGaiw==" saltValue="8aO8j9hjc/IXxaWIS6VQ2Q==" spinCount="100000" sheet="1" objects="1" scenarios="1"/>
  <mergeCells count="12">
    <mergeCell ref="Q80:T80"/>
    <mergeCell ref="Y1:AA1"/>
    <mergeCell ref="F272:P272"/>
    <mergeCell ref="A1:B1"/>
    <mergeCell ref="R1:T1"/>
    <mergeCell ref="K42:L42"/>
    <mergeCell ref="K43:L43"/>
    <mergeCell ref="K46:L46"/>
    <mergeCell ref="K44:L44"/>
    <mergeCell ref="K45:L45"/>
    <mergeCell ref="N75:T76"/>
    <mergeCell ref="Q77:T77"/>
  </mergeCells>
  <conditionalFormatting sqref="A1:Q1">
    <cfRule type="expression" dxfId="146" priority="12">
      <formula>OR(VA_FEHLER_AB&gt;0,VA_FEHLER_C&gt;0)</formula>
    </cfRule>
  </conditionalFormatting>
  <conditionalFormatting sqref="Y1">
    <cfRule type="expression" dxfId="145" priority="2">
      <formula>V_ARBEIT=0</formula>
    </cfRule>
  </conditionalFormatting>
  <dataValidations disablePrompts="1" count="2">
    <dataValidation allowBlank="1" showInputMessage="1" showErrorMessage="1" promptTitle="Beispiel" prompt="In grünen Feldern können Sie Werte eintragen und voreingetragene Werte überschreiben, aber auch Werte herauslöschen." sqref="K42:L42" xr:uid="{D736AB25-8D71-49E7-9492-3FF2EE64A71F}"/>
    <dataValidation type="list" allowBlank="1" showInputMessage="1" showErrorMessage="1" errorTitle="Eingabefehler" error="Bitte Eintrag aus der Auswahlliste wählen." sqref="K43:L43" xr:uid="{0C06649A-1CA4-4CD0-83C5-6A03F07607DA}">
      <formula1>"Beispiel,Zweite Auswahl,Dritte Auswahl"</formula1>
    </dataValidation>
  </dataValidations>
  <hyperlinks>
    <hyperlink ref="Q77" r:id="rId1" tooltip="E-Mail senden an Lukas Benda (technischer Support)" display="lukas.benda@bahnstadt.de" xr:uid="{E39387F5-93B1-4E5A-B36A-0B8E98890F47}"/>
    <hyperlink ref="Q77:S77" r:id="rId2" tooltip="E-Mail senden an: Infostelle Fahrradparken" display="mail@radparken.info" xr:uid="{FC1FD394-E492-4699-AF55-8019936FB131}"/>
  </hyperlinks>
  <printOptions horizontalCentered="1"/>
  <pageMargins left="0.70866141732283472" right="0.70866141732283472" top="0.78740157480314965" bottom="0.78740157480314965" header="0.39370078740157483" footer="0.27559055118110237"/>
  <pageSetup paperSize="9" scale="47" orientation="portrait" errors="blank" r:id="rId3"/>
  <headerFooter scaleWithDoc="0">
    <oddHeader>&amp;L&amp;13Erläuterungsgrafiken und Begriffsdefinitionen&amp;R&amp;G</oddHeader>
    <oddFooter>&amp;L&amp;G&amp;C&amp;6&amp;U&amp;K02+000Infostelle Fahrradparken&amp;18&amp;U&amp;K01+000
&amp;9https://radparken.info&amp;R&amp;KA5A5A5&amp;"Calibri"&amp;6Druck am: &amp;D
Tabellenreiter: &amp;A
Version: 3.6 (08.01.2025)</oddFooter>
  </headerFooter>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BBC58-3AD1-421D-8006-E0D65D54E178}">
  <sheetPr published="0" codeName="Sheet6">
    <tabColor theme="4"/>
    <outlinePr summaryBelow="0" summaryRight="0"/>
    <pageSetUpPr autoPageBreaks="0"/>
  </sheetPr>
  <dimension ref="A1:AA359"/>
  <sheetViews>
    <sheetView showGridLines="0" zoomScaleNormal="100" workbookViewId="0">
      <pane ySplit="2" topLeftCell="A3" activePane="bottomLeft" state="frozen"/>
      <selection pane="bottomLeft" activeCell="A3" sqref="A3"/>
    </sheetView>
  </sheetViews>
  <sheetFormatPr baseColWidth="10" defaultColWidth="9.6640625" defaultRowHeight="18" customHeight="1"/>
  <cols>
    <col min="1" max="1" width="4.6640625" style="1" customWidth="1"/>
    <col min="2" max="16384" width="9.6640625" style="2"/>
  </cols>
  <sheetData>
    <row r="1" spans="1:22" s="4" customFormat="1" ht="32" customHeight="1">
      <c r="A1" s="8"/>
      <c r="B1" s="14" t="s">
        <v>9</v>
      </c>
    </row>
    <row r="2" spans="1:22" s="5" customFormat="1" ht="4" customHeight="1"/>
    <row r="3" spans="1:22" s="4" customFormat="1" ht="18" customHeight="1">
      <c r="A3" s="8"/>
      <c r="B3" s="66" t="s">
        <v>449</v>
      </c>
    </row>
    <row r="5" spans="1:22" ht="18" customHeight="1">
      <c r="B5" s="1905" t="s">
        <v>37</v>
      </c>
      <c r="C5" s="1905"/>
      <c r="D5" s="1922" t="s">
        <v>1</v>
      </c>
      <c r="E5" s="1922"/>
      <c r="F5" s="1923" t="s">
        <v>610</v>
      </c>
      <c r="G5" s="1923"/>
      <c r="H5" s="1886" t="s">
        <v>2</v>
      </c>
      <c r="I5" s="1886"/>
      <c r="J5" s="1887" t="s">
        <v>0</v>
      </c>
      <c r="K5" s="1887"/>
      <c r="M5" s="1906" t="s">
        <v>129</v>
      </c>
      <c r="N5" s="1906"/>
      <c r="P5" s="1930" t="s">
        <v>130</v>
      </c>
      <c r="Q5" s="1930"/>
      <c r="T5" s="658" t="s">
        <v>620</v>
      </c>
      <c r="U5" s="1920" t="str">
        <f>TRIM(MID('Startseite und Basisinfos'!C69,SEARCH("Versionsnummer",'Startseite und Basisinfos'!C69)+14,(FIND("(",'Startseite und Basisinfos'!C69)-(SEARCH("Versionsnummer",'Startseite und Basisinfos'!C69)+14))))</f>
        <v>3.6</v>
      </c>
      <c r="V5" s="1921"/>
    </row>
    <row r="6" spans="1:22" ht="18" customHeight="1" thickBot="1">
      <c r="T6" s="658" t="s">
        <v>619</v>
      </c>
      <c r="U6" s="1920" t="str">
        <f>TRIM(MID('Startseite und Basisinfos'!C69,SEARCH("Stand",'Startseite und Basisinfos'!C69)+5,(FIND(")",'Startseite und Basisinfos'!C69)-(SEARCH("Stand",'Startseite und Basisinfos'!C69)+5))))</f>
        <v>08.01.2025</v>
      </c>
      <c r="V6" s="1921"/>
    </row>
    <row r="7" spans="1:22" ht="18" customHeight="1">
      <c r="B7" s="28" t="s">
        <v>41</v>
      </c>
      <c r="C7" s="29"/>
      <c r="D7" s="1904" t="s">
        <v>3</v>
      </c>
      <c r="E7" s="1902"/>
      <c r="F7" s="1904" t="s">
        <v>7</v>
      </c>
      <c r="G7" s="1902"/>
      <c r="H7" s="1918" t="s">
        <v>741</v>
      </c>
      <c r="I7" s="1919"/>
      <c r="J7" s="1902" t="s">
        <v>3</v>
      </c>
      <c r="K7" s="1903"/>
      <c r="L7" s="1904" t="s">
        <v>7</v>
      </c>
      <c r="M7" s="1903"/>
      <c r="N7" s="1916" t="s">
        <v>741</v>
      </c>
      <c r="O7" s="1917"/>
      <c r="T7" s="895" t="s">
        <v>778</v>
      </c>
      <c r="U7" s="1992">
        <v>0</v>
      </c>
      <c r="V7" s="1993"/>
    </row>
    <row r="8" spans="1:22" ht="18" customHeight="1" thickBot="1">
      <c r="B8" s="16" t="s">
        <v>21</v>
      </c>
      <c r="C8" s="17"/>
      <c r="D8" s="18" t="s">
        <v>35</v>
      </c>
      <c r="E8" s="19" t="s">
        <v>19</v>
      </c>
      <c r="F8" s="18" t="s">
        <v>35</v>
      </c>
      <c r="G8" s="19" t="s">
        <v>19</v>
      </c>
      <c r="H8" s="18" t="s">
        <v>35</v>
      </c>
      <c r="I8" s="20" t="s">
        <v>19</v>
      </c>
      <c r="J8" s="21" t="s">
        <v>35</v>
      </c>
      <c r="K8" s="19" t="s">
        <v>19</v>
      </c>
      <c r="L8" s="18" t="s">
        <v>35</v>
      </c>
      <c r="M8" s="19" t="s">
        <v>19</v>
      </c>
      <c r="N8" s="18" t="s">
        <v>35</v>
      </c>
      <c r="O8" s="20" t="s">
        <v>19</v>
      </c>
      <c r="Q8" s="98" t="s">
        <v>36</v>
      </c>
      <c r="R8" s="99"/>
      <c r="S8" s="99"/>
      <c r="T8" s="99"/>
      <c r="U8" s="99"/>
      <c r="V8" s="99"/>
    </row>
    <row r="9" spans="1:22" ht="18" customHeight="1">
      <c r="B9" s="22" t="s">
        <v>4</v>
      </c>
      <c r="C9" s="23"/>
      <c r="D9" s="35">
        <f>'A ▪ Bestandseingabe'!E49</f>
        <v>0</v>
      </c>
      <c r="E9" s="36">
        <f>'A ▪ Bestandseingabe'!F49</f>
        <v>0</v>
      </c>
      <c r="F9" s="35">
        <f>'A ▪ Bestandseingabe'!G49</f>
        <v>0</v>
      </c>
      <c r="G9" s="36">
        <f>'A ▪ Bestandseingabe'!H49</f>
        <v>0</v>
      </c>
      <c r="H9" s="35">
        <f>'A ▪ Bestandseingabe'!I49</f>
        <v>0</v>
      </c>
      <c r="I9" s="37">
        <f>'A ▪ Bestandseingabe'!J49</f>
        <v>0</v>
      </c>
      <c r="J9" s="38">
        <f>'A ▪ Bestandseingabe'!O49</f>
        <v>0</v>
      </c>
      <c r="K9" s="36">
        <f>'A ▪ Bestandseingabe'!P49</f>
        <v>0</v>
      </c>
      <c r="L9" s="35">
        <f>'A ▪ Bestandseingabe'!Q49</f>
        <v>0</v>
      </c>
      <c r="M9" s="36">
        <f>'A ▪ Bestandseingabe'!R49</f>
        <v>0</v>
      </c>
      <c r="N9" s="35">
        <f>'A ▪ Bestandseingabe'!S49</f>
        <v>0</v>
      </c>
      <c r="O9" s="37">
        <f>'A ▪ Bestandseingabe'!T49</f>
        <v>0</v>
      </c>
      <c r="P9" s="106"/>
      <c r="Q9" s="104">
        <f>IF((D9-E9)&lt;0,1,0)</f>
        <v>0</v>
      </c>
      <c r="R9" s="97">
        <f>IF((F9-G9)&lt;0,1,0)</f>
        <v>0</v>
      </c>
      <c r="S9" s="100">
        <f>IF((H9-I9)&lt;0,1,0)</f>
        <v>0</v>
      </c>
      <c r="T9" s="104">
        <f>IF((J9-K9)&lt;0,1,0)</f>
        <v>0</v>
      </c>
      <c r="U9" s="97">
        <f>IF((L9-M9)&lt;0,1,0)</f>
        <v>0</v>
      </c>
      <c r="V9" s="100">
        <f>IF((N9-O9)&lt;0,1,0)</f>
        <v>0</v>
      </c>
    </row>
    <row r="10" spans="1:22" ht="18" customHeight="1">
      <c r="B10" s="22" t="s">
        <v>5</v>
      </c>
      <c r="C10" s="23"/>
      <c r="D10" s="35">
        <f>'A ▪ Bestandseingabe'!E50</f>
        <v>0</v>
      </c>
      <c r="E10" s="36">
        <f>'A ▪ Bestandseingabe'!F50</f>
        <v>0</v>
      </c>
      <c r="F10" s="42">
        <f>'A ▪ Bestandseingabe'!G50</f>
        <v>0</v>
      </c>
      <c r="G10" s="43">
        <f>'A ▪ Bestandseingabe'!H50</f>
        <v>0</v>
      </c>
      <c r="H10" s="40">
        <f>'A ▪ Bestandseingabe'!I50</f>
        <v>0</v>
      </c>
      <c r="I10" s="41">
        <f>'A ▪ Bestandseingabe'!J50</f>
        <v>0</v>
      </c>
      <c r="J10" s="38">
        <f>'A ▪ Bestandseingabe'!O50</f>
        <v>0</v>
      </c>
      <c r="K10" s="36">
        <f>'A ▪ Bestandseingabe'!P50</f>
        <v>0</v>
      </c>
      <c r="L10" s="42">
        <f>'A ▪ Bestandseingabe'!Q50</f>
        <v>0</v>
      </c>
      <c r="M10" s="43">
        <f>'A ▪ Bestandseingabe'!R50</f>
        <v>0</v>
      </c>
      <c r="N10" s="40">
        <f>'A ▪ Bestandseingabe'!S50</f>
        <v>0</v>
      </c>
      <c r="O10" s="41">
        <f>'A ▪ Bestandseingabe'!T50</f>
        <v>0</v>
      </c>
      <c r="P10" s="106"/>
      <c r="Q10" s="105">
        <f t="shared" ref="Q10:Q12" si="0">IF((D10-E10)&lt;0,1,0)</f>
        <v>0</v>
      </c>
      <c r="R10" s="96">
        <f t="shared" ref="R10:R12" si="1">IF((F10-G10)&lt;0,1,0)</f>
        <v>0</v>
      </c>
      <c r="S10" s="101">
        <f t="shared" ref="S10:S12" si="2">IF((H10-I10)&lt;0,1,0)</f>
        <v>0</v>
      </c>
      <c r="T10" s="105">
        <f t="shared" ref="T10:T13" si="3">IF((J10-K10)&lt;0,1,0)</f>
        <v>0</v>
      </c>
      <c r="U10" s="96">
        <f t="shared" ref="U10:U12" si="4">IF((L10-M10)&lt;0,1,0)</f>
        <v>0</v>
      </c>
      <c r="V10" s="101">
        <f t="shared" ref="V10:V12" si="5">IF((N10-O10)&lt;0,1,0)</f>
        <v>0</v>
      </c>
    </row>
    <row r="11" spans="1:22" ht="18" customHeight="1">
      <c r="B11" s="22" t="s">
        <v>296</v>
      </c>
      <c r="C11" s="23"/>
      <c r="D11" s="35">
        <f>'A ▪ Bestandseingabe'!E51</f>
        <v>0</v>
      </c>
      <c r="E11" s="36">
        <f>'A ▪ Bestandseingabe'!F51</f>
        <v>0</v>
      </c>
      <c r="F11" s="42">
        <f>'A ▪ Bestandseingabe'!G51</f>
        <v>0</v>
      </c>
      <c r="G11" s="43">
        <f>'A ▪ Bestandseingabe'!H51</f>
        <v>0</v>
      </c>
      <c r="H11" s="40">
        <f>'A ▪ Bestandseingabe'!I51</f>
        <v>0</v>
      </c>
      <c r="I11" s="41">
        <f>'A ▪ Bestandseingabe'!J51</f>
        <v>0</v>
      </c>
      <c r="J11" s="38">
        <f>'A ▪ Bestandseingabe'!O51</f>
        <v>0</v>
      </c>
      <c r="K11" s="36">
        <f>'A ▪ Bestandseingabe'!P51</f>
        <v>0</v>
      </c>
      <c r="L11" s="42">
        <f>'A ▪ Bestandseingabe'!Q51</f>
        <v>0</v>
      </c>
      <c r="M11" s="43">
        <f>'A ▪ Bestandseingabe'!R51</f>
        <v>0</v>
      </c>
      <c r="N11" s="40">
        <f>'A ▪ Bestandseingabe'!S51</f>
        <v>0</v>
      </c>
      <c r="O11" s="41">
        <f>'A ▪ Bestandseingabe'!T51</f>
        <v>0</v>
      </c>
      <c r="P11" s="106"/>
      <c r="Q11" s="105">
        <f t="shared" si="0"/>
        <v>0</v>
      </c>
      <c r="R11" s="96">
        <f t="shared" si="1"/>
        <v>0</v>
      </c>
      <c r="S11" s="101">
        <f t="shared" si="2"/>
        <v>0</v>
      </c>
      <c r="T11" s="105">
        <f t="shared" si="3"/>
        <v>0</v>
      </c>
      <c r="U11" s="96">
        <f t="shared" si="4"/>
        <v>0</v>
      </c>
      <c r="V11" s="101">
        <f t="shared" si="5"/>
        <v>0</v>
      </c>
    </row>
    <row r="12" spans="1:22" ht="18" customHeight="1" thickBot="1">
      <c r="B12" s="24" t="s">
        <v>6</v>
      </c>
      <c r="C12" s="25"/>
      <c r="D12" s="35">
        <f>'A ▪ Bestandseingabe'!E52</f>
        <v>0</v>
      </c>
      <c r="E12" s="36">
        <f>'A ▪ Bestandseingabe'!F52</f>
        <v>0</v>
      </c>
      <c r="F12" s="42">
        <f>'A ▪ Bestandseingabe'!G52</f>
        <v>0</v>
      </c>
      <c r="G12" s="43">
        <f>'A ▪ Bestandseingabe'!H52</f>
        <v>0</v>
      </c>
      <c r="H12" s="40">
        <f>'A ▪ Bestandseingabe'!I52</f>
        <v>0</v>
      </c>
      <c r="I12" s="41">
        <f>'A ▪ Bestandseingabe'!J52</f>
        <v>0</v>
      </c>
      <c r="J12" s="38">
        <f>'A ▪ Bestandseingabe'!O52</f>
        <v>0</v>
      </c>
      <c r="K12" s="36">
        <f>'A ▪ Bestandseingabe'!P52</f>
        <v>0</v>
      </c>
      <c r="L12" s="42">
        <f>'A ▪ Bestandseingabe'!Q52</f>
        <v>0</v>
      </c>
      <c r="M12" s="43">
        <f>'A ▪ Bestandseingabe'!R52</f>
        <v>0</v>
      </c>
      <c r="N12" s="40">
        <f>'A ▪ Bestandseingabe'!S52</f>
        <v>0</v>
      </c>
      <c r="O12" s="41">
        <f>'A ▪ Bestandseingabe'!T52</f>
        <v>0</v>
      </c>
      <c r="P12" s="106"/>
      <c r="Q12" s="105">
        <f t="shared" si="0"/>
        <v>0</v>
      </c>
      <c r="R12" s="102">
        <f t="shared" si="1"/>
        <v>0</v>
      </c>
      <c r="S12" s="103">
        <f t="shared" si="2"/>
        <v>0</v>
      </c>
      <c r="T12" s="111">
        <f t="shared" si="3"/>
        <v>0</v>
      </c>
      <c r="U12" s="102">
        <f t="shared" si="4"/>
        <v>0</v>
      </c>
      <c r="V12" s="103">
        <f t="shared" si="5"/>
        <v>0</v>
      </c>
    </row>
    <row r="13" spans="1:22" ht="18" customHeight="1" thickBot="1">
      <c r="B13" s="22" t="s">
        <v>207</v>
      </c>
      <c r="C13" s="23"/>
      <c r="D13" s="40">
        <f>'A ▪ Bestandseingabe'!E54</f>
        <v>0</v>
      </c>
      <c r="E13" s="178">
        <f>'A ▪ Bestandseingabe'!F54</f>
        <v>0</v>
      </c>
      <c r="F13" s="95" t="str">
        <f>IF(SUM(Q9:S13)&gt;0,$B$130,"")</f>
        <v/>
      </c>
      <c r="G13" s="30"/>
      <c r="H13" s="30"/>
      <c r="I13" s="31"/>
      <c r="J13" s="40">
        <f>'A ▪ Bestandseingabe'!O54</f>
        <v>0</v>
      </c>
      <c r="K13" s="179">
        <f>'A ▪ Bestandseingabe'!P54</f>
        <v>0</v>
      </c>
      <c r="L13" s="95" t="str">
        <f>IF(SUM(T9:V13)&gt;0,$B$130,"")</f>
        <v/>
      </c>
      <c r="M13" s="30"/>
      <c r="N13" s="30"/>
      <c r="O13" s="31"/>
      <c r="P13" s="107" t="s">
        <v>29</v>
      </c>
      <c r="Q13" s="108">
        <f>IF((D13-E13)&lt;0,1,0)</f>
        <v>0</v>
      </c>
      <c r="S13" s="109"/>
      <c r="T13" s="110">
        <f t="shared" si="3"/>
        <v>0</v>
      </c>
    </row>
    <row r="14" spans="1:22" ht="18" customHeight="1" thickBot="1">
      <c r="B14" s="26" t="s">
        <v>870</v>
      </c>
      <c r="C14" s="27"/>
      <c r="D14" s="62">
        <f>'A ▪ Bestandseingabe'!F56</f>
        <v>0</v>
      </c>
      <c r="E14" s="964">
        <f>'A ▪ Bestandseingabe'!F58</f>
        <v>0</v>
      </c>
      <c r="F14" s="32"/>
      <c r="G14" s="32"/>
      <c r="H14" s="33"/>
      <c r="I14" s="34"/>
      <c r="J14" s="62">
        <f>'A ▪ Bestandseingabe'!P56</f>
        <v>0</v>
      </c>
      <c r="K14" s="965">
        <f>'A ▪ Bestandseingabe'!P58</f>
        <v>0</v>
      </c>
      <c r="L14" s="33"/>
      <c r="M14" s="33"/>
      <c r="N14" s="33"/>
      <c r="O14" s="34"/>
    </row>
    <row r="15" spans="1:22" ht="18" customHeight="1">
      <c r="B15" s="28" t="s">
        <v>42</v>
      </c>
      <c r="C15" s="29"/>
      <c r="D15" s="1904" t="s">
        <v>3</v>
      </c>
      <c r="E15" s="1902"/>
      <c r="F15" s="1904" t="s">
        <v>7</v>
      </c>
      <c r="G15" s="1902"/>
      <c r="H15" s="1918" t="s">
        <v>741</v>
      </c>
      <c r="I15" s="1919"/>
      <c r="J15" s="1902" t="s">
        <v>3</v>
      </c>
      <c r="K15" s="1903"/>
      <c r="L15" s="1904" t="s">
        <v>7</v>
      </c>
      <c r="M15" s="1903"/>
      <c r="N15" s="1916" t="s">
        <v>741</v>
      </c>
      <c r="O15" s="1917"/>
    </row>
    <row r="16" spans="1:22" ht="18" customHeight="1" thickBot="1">
      <c r="B16" s="16" t="s">
        <v>21</v>
      </c>
      <c r="C16" s="17"/>
      <c r="D16" s="18" t="s">
        <v>35</v>
      </c>
      <c r="E16" s="19" t="s">
        <v>19</v>
      </c>
      <c r="F16" s="18" t="s">
        <v>35</v>
      </c>
      <c r="G16" s="19" t="s">
        <v>19</v>
      </c>
      <c r="H16" s="18" t="s">
        <v>35</v>
      </c>
      <c r="I16" s="20" t="s">
        <v>19</v>
      </c>
      <c r="J16" s="21" t="s">
        <v>35</v>
      </c>
      <c r="K16" s="19" t="s">
        <v>19</v>
      </c>
      <c r="L16" s="18" t="s">
        <v>35</v>
      </c>
      <c r="M16" s="19" t="s">
        <v>19</v>
      </c>
      <c r="N16" s="18" t="s">
        <v>35</v>
      </c>
      <c r="O16" s="20" t="s">
        <v>19</v>
      </c>
      <c r="Q16" s="98" t="s">
        <v>36</v>
      </c>
      <c r="R16" s="99"/>
      <c r="S16" s="99"/>
      <c r="T16" s="99"/>
      <c r="U16" s="99"/>
      <c r="V16" s="99"/>
    </row>
    <row r="17" spans="2:22" ht="18" customHeight="1">
      <c r="B17" s="22" t="s">
        <v>4</v>
      </c>
      <c r="C17" s="23"/>
      <c r="D17" s="35">
        <f>'A ▪ Bestandseingabe'!E64</f>
        <v>0</v>
      </c>
      <c r="E17" s="36">
        <f>'A ▪ Bestandseingabe'!F64</f>
        <v>0</v>
      </c>
      <c r="F17" s="35">
        <f>'A ▪ Bestandseingabe'!G64</f>
        <v>0</v>
      </c>
      <c r="G17" s="36">
        <f>'A ▪ Bestandseingabe'!H64</f>
        <v>0</v>
      </c>
      <c r="H17" s="35">
        <f>'A ▪ Bestandseingabe'!I64</f>
        <v>0</v>
      </c>
      <c r="I17" s="37">
        <f>'A ▪ Bestandseingabe'!J64</f>
        <v>0</v>
      </c>
      <c r="J17" s="38">
        <f>'A ▪ Bestandseingabe'!O64</f>
        <v>0</v>
      </c>
      <c r="K17" s="36">
        <f>'A ▪ Bestandseingabe'!P64</f>
        <v>0</v>
      </c>
      <c r="L17" s="35">
        <f>'A ▪ Bestandseingabe'!Q64</f>
        <v>0</v>
      </c>
      <c r="M17" s="36">
        <f>'A ▪ Bestandseingabe'!R64</f>
        <v>0</v>
      </c>
      <c r="N17" s="35">
        <f>'A ▪ Bestandseingabe'!S64</f>
        <v>0</v>
      </c>
      <c r="O17" s="37">
        <f>'A ▪ Bestandseingabe'!T64</f>
        <v>0</v>
      </c>
      <c r="P17" s="106"/>
      <c r="Q17" s="104">
        <f>IF((D17-E17)&lt;0,1,0)</f>
        <v>0</v>
      </c>
      <c r="R17" s="97">
        <f>IF((F17-G17)&lt;0,1,0)</f>
        <v>0</v>
      </c>
      <c r="S17" s="100">
        <f>IF((H17-I17)&lt;0,1,0)</f>
        <v>0</v>
      </c>
      <c r="T17" s="104">
        <f>IF((J17-K17)&lt;0,1,0)</f>
        <v>0</v>
      </c>
      <c r="U17" s="97">
        <f>IF((L17-M17)&lt;0,1,0)</f>
        <v>0</v>
      </c>
      <c r="V17" s="114">
        <f>IF((N17-O17)&lt;0,1,0)</f>
        <v>0</v>
      </c>
    </row>
    <row r="18" spans="2:22" ht="18" customHeight="1">
      <c r="B18" s="22" t="s">
        <v>5</v>
      </c>
      <c r="C18" s="23"/>
      <c r="D18" s="35">
        <f>'A ▪ Bestandseingabe'!E65</f>
        <v>0</v>
      </c>
      <c r="E18" s="36">
        <f>'A ▪ Bestandseingabe'!F65</f>
        <v>0</v>
      </c>
      <c r="F18" s="42">
        <f>'A ▪ Bestandseingabe'!G65</f>
        <v>0</v>
      </c>
      <c r="G18" s="43">
        <f>'A ▪ Bestandseingabe'!H65</f>
        <v>0</v>
      </c>
      <c r="H18" s="40">
        <f>'A ▪ Bestandseingabe'!I65</f>
        <v>0</v>
      </c>
      <c r="I18" s="41">
        <f>'A ▪ Bestandseingabe'!J65</f>
        <v>0</v>
      </c>
      <c r="J18" s="38">
        <f>'A ▪ Bestandseingabe'!O65</f>
        <v>0</v>
      </c>
      <c r="K18" s="36">
        <f>'A ▪ Bestandseingabe'!P65</f>
        <v>0</v>
      </c>
      <c r="L18" s="42">
        <f>'A ▪ Bestandseingabe'!Q65</f>
        <v>0</v>
      </c>
      <c r="M18" s="43">
        <f>'A ▪ Bestandseingabe'!R65</f>
        <v>0</v>
      </c>
      <c r="N18" s="40">
        <f>'A ▪ Bestandseingabe'!S65</f>
        <v>0</v>
      </c>
      <c r="O18" s="41">
        <f>'A ▪ Bestandseingabe'!T65</f>
        <v>0</v>
      </c>
      <c r="P18" s="106"/>
      <c r="Q18" s="105">
        <f t="shared" ref="Q18:Q21" si="6">IF((D18-E18)&lt;0,1,0)</f>
        <v>0</v>
      </c>
      <c r="R18" s="96">
        <f t="shared" ref="R18:R20" si="7">IF((F18-G18)&lt;0,1,0)</f>
        <v>0</v>
      </c>
      <c r="S18" s="101">
        <f t="shared" ref="S18:S20" si="8">IF((H18-I18)&lt;0,1,0)</f>
        <v>0</v>
      </c>
      <c r="T18" s="105">
        <f t="shared" ref="T18:T21" si="9">IF((J18-K18)&lt;0,1,0)</f>
        <v>0</v>
      </c>
      <c r="U18" s="96">
        <f t="shared" ref="U18:U20" si="10">IF((L18-M18)&lt;0,1,0)</f>
        <v>0</v>
      </c>
      <c r="V18" s="101">
        <f t="shared" ref="V18:V20" si="11">IF((N18-O18)&lt;0,1,0)</f>
        <v>0</v>
      </c>
    </row>
    <row r="19" spans="2:22" ht="18" customHeight="1">
      <c r="B19" s="22" t="s">
        <v>296</v>
      </c>
      <c r="C19" s="23"/>
      <c r="D19" s="35">
        <f>'A ▪ Bestandseingabe'!E66</f>
        <v>0</v>
      </c>
      <c r="E19" s="36">
        <f>'A ▪ Bestandseingabe'!F66</f>
        <v>0</v>
      </c>
      <c r="F19" s="42">
        <f>'A ▪ Bestandseingabe'!G66</f>
        <v>0</v>
      </c>
      <c r="G19" s="43">
        <f>'A ▪ Bestandseingabe'!H66</f>
        <v>0</v>
      </c>
      <c r="H19" s="40">
        <f>'A ▪ Bestandseingabe'!I66</f>
        <v>0</v>
      </c>
      <c r="I19" s="41">
        <f>'A ▪ Bestandseingabe'!J66</f>
        <v>0</v>
      </c>
      <c r="J19" s="38">
        <f>'A ▪ Bestandseingabe'!O66</f>
        <v>0</v>
      </c>
      <c r="K19" s="36">
        <f>'A ▪ Bestandseingabe'!P66</f>
        <v>0</v>
      </c>
      <c r="L19" s="42">
        <f>'A ▪ Bestandseingabe'!Q66</f>
        <v>0</v>
      </c>
      <c r="M19" s="43">
        <f>'A ▪ Bestandseingabe'!R66</f>
        <v>0</v>
      </c>
      <c r="N19" s="40">
        <f>'A ▪ Bestandseingabe'!S66</f>
        <v>0</v>
      </c>
      <c r="O19" s="41">
        <f>'A ▪ Bestandseingabe'!T66</f>
        <v>0</v>
      </c>
      <c r="P19" s="106"/>
      <c r="Q19" s="105">
        <f t="shared" si="6"/>
        <v>0</v>
      </c>
      <c r="R19" s="96">
        <f t="shared" si="7"/>
        <v>0</v>
      </c>
      <c r="S19" s="101">
        <f t="shared" si="8"/>
        <v>0</v>
      </c>
      <c r="T19" s="105">
        <f t="shared" si="9"/>
        <v>0</v>
      </c>
      <c r="U19" s="96">
        <f t="shared" si="10"/>
        <v>0</v>
      </c>
      <c r="V19" s="101">
        <f t="shared" si="11"/>
        <v>0</v>
      </c>
    </row>
    <row r="20" spans="2:22" ht="18" customHeight="1" thickBot="1">
      <c r="B20" s="24" t="s">
        <v>6</v>
      </c>
      <c r="C20" s="25"/>
      <c r="D20" s="35">
        <f>'A ▪ Bestandseingabe'!E67</f>
        <v>0</v>
      </c>
      <c r="E20" s="36">
        <f>'A ▪ Bestandseingabe'!F67</f>
        <v>0</v>
      </c>
      <c r="F20" s="42">
        <f>'A ▪ Bestandseingabe'!G67</f>
        <v>0</v>
      </c>
      <c r="G20" s="43">
        <f>'A ▪ Bestandseingabe'!H67</f>
        <v>0</v>
      </c>
      <c r="H20" s="40">
        <f>'A ▪ Bestandseingabe'!I67</f>
        <v>0</v>
      </c>
      <c r="I20" s="41">
        <f>'A ▪ Bestandseingabe'!J67</f>
        <v>0</v>
      </c>
      <c r="J20" s="38">
        <f>'A ▪ Bestandseingabe'!O67</f>
        <v>0</v>
      </c>
      <c r="K20" s="36">
        <f>'A ▪ Bestandseingabe'!P67</f>
        <v>0</v>
      </c>
      <c r="L20" s="42">
        <f>'A ▪ Bestandseingabe'!Q67</f>
        <v>0</v>
      </c>
      <c r="M20" s="43">
        <f>'A ▪ Bestandseingabe'!R67</f>
        <v>0</v>
      </c>
      <c r="N20" s="40">
        <f>'A ▪ Bestandseingabe'!S67</f>
        <v>0</v>
      </c>
      <c r="O20" s="41">
        <f>'A ▪ Bestandseingabe'!T67</f>
        <v>0</v>
      </c>
      <c r="P20" s="106"/>
      <c r="Q20" s="105">
        <f t="shared" si="6"/>
        <v>0</v>
      </c>
      <c r="R20" s="102">
        <f t="shared" si="7"/>
        <v>0</v>
      </c>
      <c r="S20" s="103">
        <f t="shared" si="8"/>
        <v>0</v>
      </c>
      <c r="T20" s="105">
        <f t="shared" si="9"/>
        <v>0</v>
      </c>
      <c r="U20" s="102">
        <f t="shared" si="10"/>
        <v>0</v>
      </c>
      <c r="V20" s="103">
        <f t="shared" si="11"/>
        <v>0</v>
      </c>
    </row>
    <row r="21" spans="2:22" ht="18" customHeight="1" thickBot="1">
      <c r="B21" s="22" t="s">
        <v>207</v>
      </c>
      <c r="C21" s="23"/>
      <c r="D21" s="40">
        <f>'A ▪ Bestandseingabe'!E69</f>
        <v>0</v>
      </c>
      <c r="E21" s="178">
        <f>'A ▪ Bestandseingabe'!F69</f>
        <v>0</v>
      </c>
      <c r="F21" s="95" t="str">
        <f>IF(SUM(Q17:S21)&gt;0,$B$130,"")</f>
        <v/>
      </c>
      <c r="G21" s="30"/>
      <c r="H21" s="30"/>
      <c r="I21" s="31"/>
      <c r="J21" s="40">
        <f>'A ▪ Bestandseingabe'!O69</f>
        <v>0</v>
      </c>
      <c r="K21" s="178">
        <f>'A ▪ Bestandseingabe'!P69</f>
        <v>0</v>
      </c>
      <c r="L21" s="95" t="str">
        <f>IF(SUM(T17:V21)&gt;0,$B$130,"")</f>
        <v/>
      </c>
      <c r="M21" s="30"/>
      <c r="N21" s="30"/>
      <c r="O21" s="31"/>
      <c r="P21" s="107" t="s">
        <v>29</v>
      </c>
      <c r="Q21" s="108">
        <f t="shared" si="6"/>
        <v>0</v>
      </c>
      <c r="S21" s="112"/>
      <c r="T21" s="108">
        <f t="shared" si="9"/>
        <v>0</v>
      </c>
    </row>
    <row r="22" spans="2:22" ht="18" customHeight="1" thickBot="1">
      <c r="B22" s="26" t="s">
        <v>870</v>
      </c>
      <c r="C22" s="27"/>
      <c r="D22" s="62">
        <f>'A ▪ Bestandseingabe'!F71</f>
        <v>0</v>
      </c>
      <c r="E22" s="964">
        <f>'A ▪ Bestandseingabe'!F73</f>
        <v>0</v>
      </c>
      <c r="F22" s="32"/>
      <c r="G22" s="32"/>
      <c r="H22" s="33"/>
      <c r="I22" s="34"/>
      <c r="J22" s="62">
        <f>'A ▪ Bestandseingabe'!P71</f>
        <v>0</v>
      </c>
      <c r="K22" s="964">
        <f>'A ▪ Bestandseingabe'!P73</f>
        <v>0</v>
      </c>
      <c r="L22" s="33"/>
      <c r="M22" s="33"/>
      <c r="N22" s="33"/>
      <c r="O22" s="34"/>
    </row>
    <row r="23" spans="2:22" ht="18" customHeight="1">
      <c r="B23" s="28" t="s">
        <v>43</v>
      </c>
      <c r="C23" s="29"/>
      <c r="D23" s="1904" t="s">
        <v>3</v>
      </c>
      <c r="E23" s="1902"/>
      <c r="F23" s="1904" t="s">
        <v>7</v>
      </c>
      <c r="G23" s="1902"/>
      <c r="H23" s="1918" t="s">
        <v>741</v>
      </c>
      <c r="I23" s="1919"/>
      <c r="J23" s="1902" t="s">
        <v>3</v>
      </c>
      <c r="K23" s="1903"/>
      <c r="L23" s="1904" t="s">
        <v>7</v>
      </c>
      <c r="M23" s="1903"/>
      <c r="N23" s="1916" t="s">
        <v>741</v>
      </c>
      <c r="O23" s="1917"/>
    </row>
    <row r="24" spans="2:22" ht="18" customHeight="1" thickBot="1">
      <c r="B24" s="16" t="s">
        <v>21</v>
      </c>
      <c r="C24" s="17"/>
      <c r="D24" s="18" t="s">
        <v>35</v>
      </c>
      <c r="E24" s="19" t="s">
        <v>19</v>
      </c>
      <c r="F24" s="18" t="s">
        <v>35</v>
      </c>
      <c r="G24" s="19" t="s">
        <v>19</v>
      </c>
      <c r="H24" s="18" t="s">
        <v>35</v>
      </c>
      <c r="I24" s="20" t="s">
        <v>19</v>
      </c>
      <c r="J24" s="21" t="s">
        <v>35</v>
      </c>
      <c r="K24" s="19" t="s">
        <v>19</v>
      </c>
      <c r="L24" s="18" t="s">
        <v>35</v>
      </c>
      <c r="M24" s="19" t="s">
        <v>19</v>
      </c>
      <c r="N24" s="18" t="s">
        <v>35</v>
      </c>
      <c r="O24" s="20" t="s">
        <v>19</v>
      </c>
      <c r="Q24" s="98" t="s">
        <v>36</v>
      </c>
      <c r="R24" s="99"/>
      <c r="S24" s="99"/>
      <c r="T24" s="99"/>
      <c r="U24" s="99"/>
      <c r="V24" s="99"/>
    </row>
    <row r="25" spans="2:22" ht="18" customHeight="1">
      <c r="B25" s="22" t="s">
        <v>4</v>
      </c>
      <c r="C25" s="23"/>
      <c r="D25" s="35">
        <f>'A ▪ Bestandseingabe'!E79</f>
        <v>0</v>
      </c>
      <c r="E25" s="36">
        <f>'A ▪ Bestandseingabe'!F79</f>
        <v>0</v>
      </c>
      <c r="F25" s="35">
        <f>'A ▪ Bestandseingabe'!G79</f>
        <v>0</v>
      </c>
      <c r="G25" s="36">
        <f>'A ▪ Bestandseingabe'!H79</f>
        <v>0</v>
      </c>
      <c r="H25" s="35">
        <f>'A ▪ Bestandseingabe'!I79</f>
        <v>0</v>
      </c>
      <c r="I25" s="37">
        <f>'A ▪ Bestandseingabe'!J79</f>
        <v>0</v>
      </c>
      <c r="J25" s="38">
        <f>'A ▪ Bestandseingabe'!O79</f>
        <v>0</v>
      </c>
      <c r="K25" s="36">
        <f>'A ▪ Bestandseingabe'!P79</f>
        <v>0</v>
      </c>
      <c r="L25" s="35">
        <f>'A ▪ Bestandseingabe'!Q79</f>
        <v>0</v>
      </c>
      <c r="M25" s="36">
        <f>'A ▪ Bestandseingabe'!R79</f>
        <v>0</v>
      </c>
      <c r="N25" s="35">
        <f>'A ▪ Bestandseingabe'!S79</f>
        <v>0</v>
      </c>
      <c r="O25" s="37">
        <f>'A ▪ Bestandseingabe'!T79</f>
        <v>0</v>
      </c>
      <c r="P25" s="106"/>
      <c r="Q25" s="104">
        <f>IF((D25-E25)&lt;0,1,0)</f>
        <v>0</v>
      </c>
      <c r="R25" s="97">
        <f>IF((F25-G25)&lt;0,1,0)</f>
        <v>0</v>
      </c>
      <c r="S25" s="100">
        <f>IF((H25-I25)&lt;0,1,0)</f>
        <v>0</v>
      </c>
      <c r="T25" s="104">
        <f>IF((J25-K25)&lt;0,1,0)</f>
        <v>0</v>
      </c>
      <c r="U25" s="97">
        <f>IF((L25-M25)&lt;0,1,0)</f>
        <v>0</v>
      </c>
      <c r="V25" s="100">
        <f>IF((N25-O25)&lt;0,1,0)</f>
        <v>0</v>
      </c>
    </row>
    <row r="26" spans="2:22" ht="18" customHeight="1">
      <c r="B26" s="22" t="s">
        <v>5</v>
      </c>
      <c r="C26" s="23"/>
      <c r="D26" s="35">
        <f>'A ▪ Bestandseingabe'!E80</f>
        <v>0</v>
      </c>
      <c r="E26" s="36">
        <f>'A ▪ Bestandseingabe'!F80</f>
        <v>0</v>
      </c>
      <c r="F26" s="35">
        <f>'A ▪ Bestandseingabe'!G80</f>
        <v>0</v>
      </c>
      <c r="G26" s="36">
        <f>'A ▪ Bestandseingabe'!H80</f>
        <v>0</v>
      </c>
      <c r="H26" s="40">
        <f>'A ▪ Bestandseingabe'!I80</f>
        <v>0</v>
      </c>
      <c r="I26" s="41">
        <f>'A ▪ Bestandseingabe'!J80</f>
        <v>0</v>
      </c>
      <c r="J26" s="38">
        <f>'A ▪ Bestandseingabe'!O80</f>
        <v>0</v>
      </c>
      <c r="K26" s="36">
        <f>'A ▪ Bestandseingabe'!P80</f>
        <v>0</v>
      </c>
      <c r="L26" s="35">
        <f>'A ▪ Bestandseingabe'!Q80</f>
        <v>0</v>
      </c>
      <c r="M26" s="36">
        <f>'A ▪ Bestandseingabe'!R80</f>
        <v>0</v>
      </c>
      <c r="N26" s="40">
        <f>'A ▪ Bestandseingabe'!S80</f>
        <v>0</v>
      </c>
      <c r="O26" s="41">
        <f>'A ▪ Bestandseingabe'!T80</f>
        <v>0</v>
      </c>
      <c r="P26" s="106"/>
      <c r="Q26" s="105">
        <f t="shared" ref="Q26:Q29" si="12">IF((D26-E26)&lt;0,1,0)</f>
        <v>0</v>
      </c>
      <c r="R26" s="96">
        <f t="shared" ref="R26:R28" si="13">IF((F26-G26)&lt;0,1,0)</f>
        <v>0</v>
      </c>
      <c r="S26" s="101">
        <f t="shared" ref="S26:S28" si="14">IF((H26-I26)&lt;0,1,0)</f>
        <v>0</v>
      </c>
      <c r="T26" s="105">
        <f t="shared" ref="T26:T29" si="15">IF((J26-K26)&lt;0,1,0)</f>
        <v>0</v>
      </c>
      <c r="U26" s="96">
        <f t="shared" ref="U26:U28" si="16">IF((L26-M26)&lt;0,1,0)</f>
        <v>0</v>
      </c>
      <c r="V26" s="101">
        <f t="shared" ref="V26:V28" si="17">IF((N26-O26)&lt;0,1,0)</f>
        <v>0</v>
      </c>
    </row>
    <row r="27" spans="2:22" ht="18" customHeight="1">
      <c r="B27" s="22" t="s">
        <v>296</v>
      </c>
      <c r="C27" s="23"/>
      <c r="D27" s="35">
        <f>'A ▪ Bestandseingabe'!E81</f>
        <v>0</v>
      </c>
      <c r="E27" s="36">
        <f>'A ▪ Bestandseingabe'!F81</f>
        <v>0</v>
      </c>
      <c r="F27" s="35">
        <f>'A ▪ Bestandseingabe'!G81</f>
        <v>0</v>
      </c>
      <c r="G27" s="36">
        <f>'A ▪ Bestandseingabe'!H81</f>
        <v>0</v>
      </c>
      <c r="H27" s="40">
        <f>'A ▪ Bestandseingabe'!I81</f>
        <v>0</v>
      </c>
      <c r="I27" s="41">
        <f>'A ▪ Bestandseingabe'!J81</f>
        <v>0</v>
      </c>
      <c r="J27" s="38">
        <f>'A ▪ Bestandseingabe'!O81</f>
        <v>0</v>
      </c>
      <c r="K27" s="36">
        <f>'A ▪ Bestandseingabe'!P81</f>
        <v>0</v>
      </c>
      <c r="L27" s="35">
        <f>'A ▪ Bestandseingabe'!Q81</f>
        <v>0</v>
      </c>
      <c r="M27" s="36">
        <f>'A ▪ Bestandseingabe'!R81</f>
        <v>0</v>
      </c>
      <c r="N27" s="40">
        <f>'A ▪ Bestandseingabe'!S81</f>
        <v>0</v>
      </c>
      <c r="O27" s="41">
        <f>'A ▪ Bestandseingabe'!T81</f>
        <v>0</v>
      </c>
      <c r="P27" s="106"/>
      <c r="Q27" s="105">
        <f t="shared" si="12"/>
        <v>0</v>
      </c>
      <c r="R27" s="96">
        <f t="shared" si="13"/>
        <v>0</v>
      </c>
      <c r="S27" s="101">
        <f t="shared" si="14"/>
        <v>0</v>
      </c>
      <c r="T27" s="105">
        <f t="shared" si="15"/>
        <v>0</v>
      </c>
      <c r="U27" s="96">
        <f t="shared" si="16"/>
        <v>0</v>
      </c>
      <c r="V27" s="101">
        <f t="shared" si="17"/>
        <v>0</v>
      </c>
    </row>
    <row r="28" spans="2:22" ht="18" customHeight="1" thickBot="1">
      <c r="B28" s="24" t="s">
        <v>6</v>
      </c>
      <c r="C28" s="25"/>
      <c r="D28" s="35">
        <f>'A ▪ Bestandseingabe'!E82</f>
        <v>0</v>
      </c>
      <c r="E28" s="36">
        <f>'A ▪ Bestandseingabe'!F82</f>
        <v>0</v>
      </c>
      <c r="F28" s="35">
        <f>'A ▪ Bestandseingabe'!G82</f>
        <v>0</v>
      </c>
      <c r="G28" s="36">
        <f>'A ▪ Bestandseingabe'!H82</f>
        <v>0</v>
      </c>
      <c r="H28" s="40">
        <f>'A ▪ Bestandseingabe'!I82</f>
        <v>0</v>
      </c>
      <c r="I28" s="41">
        <f>'A ▪ Bestandseingabe'!J82</f>
        <v>0</v>
      </c>
      <c r="J28" s="38">
        <f>'A ▪ Bestandseingabe'!O82</f>
        <v>0</v>
      </c>
      <c r="K28" s="36">
        <f>'A ▪ Bestandseingabe'!P82</f>
        <v>0</v>
      </c>
      <c r="L28" s="35">
        <f>'A ▪ Bestandseingabe'!Q82</f>
        <v>0</v>
      </c>
      <c r="M28" s="36">
        <f>'A ▪ Bestandseingabe'!R82</f>
        <v>0</v>
      </c>
      <c r="N28" s="40">
        <f>'A ▪ Bestandseingabe'!S82</f>
        <v>0</v>
      </c>
      <c r="O28" s="41">
        <f>'A ▪ Bestandseingabe'!T82</f>
        <v>0</v>
      </c>
      <c r="P28" s="106"/>
      <c r="Q28" s="105">
        <f t="shared" si="12"/>
        <v>0</v>
      </c>
      <c r="R28" s="102">
        <f t="shared" si="13"/>
        <v>0</v>
      </c>
      <c r="S28" s="103">
        <f t="shared" si="14"/>
        <v>0</v>
      </c>
      <c r="T28" s="105">
        <f t="shared" si="15"/>
        <v>0</v>
      </c>
      <c r="U28" s="102">
        <f t="shared" si="16"/>
        <v>0</v>
      </c>
      <c r="V28" s="103">
        <f t="shared" si="17"/>
        <v>0</v>
      </c>
    </row>
    <row r="29" spans="2:22" ht="18" customHeight="1" thickBot="1">
      <c r="B29" s="22" t="s">
        <v>207</v>
      </c>
      <c r="C29" s="23"/>
      <c r="D29" s="40">
        <f>'A ▪ Bestandseingabe'!E84</f>
        <v>0</v>
      </c>
      <c r="E29" s="178">
        <f>'A ▪ Bestandseingabe'!F84</f>
        <v>0</v>
      </c>
      <c r="F29" s="95" t="str">
        <f>IF(SUM(Q25:S29)&gt;0,$B$130,"")</f>
        <v/>
      </c>
      <c r="G29" s="30"/>
      <c r="H29" s="30"/>
      <c r="I29" s="31"/>
      <c r="J29" s="40">
        <f>'A ▪ Bestandseingabe'!O84</f>
        <v>0</v>
      </c>
      <c r="K29" s="179">
        <f>'A ▪ Bestandseingabe'!P84</f>
        <v>0</v>
      </c>
      <c r="L29" s="95" t="str">
        <f>IF(SUM(T25:V29)&gt;0,$B$130,"")</f>
        <v/>
      </c>
      <c r="M29" s="30"/>
      <c r="N29" s="30"/>
      <c r="O29" s="31"/>
      <c r="P29" s="107" t="s">
        <v>29</v>
      </c>
      <c r="Q29" s="115">
        <f t="shared" si="12"/>
        <v>0</v>
      </c>
      <c r="R29" s="116"/>
      <c r="S29" s="112"/>
      <c r="T29" s="117">
        <f t="shared" si="15"/>
        <v>0</v>
      </c>
      <c r="U29" s="116"/>
      <c r="V29" s="113"/>
    </row>
    <row r="30" spans="2:22" ht="18" customHeight="1" thickBot="1">
      <c r="B30" s="26" t="s">
        <v>870</v>
      </c>
      <c r="C30" s="27"/>
      <c r="D30" s="62">
        <f>'A ▪ Bestandseingabe'!F86</f>
        <v>0</v>
      </c>
      <c r="E30" s="964">
        <f>'A ▪ Bestandseingabe'!F88</f>
        <v>0</v>
      </c>
      <c r="F30" s="32"/>
      <c r="G30" s="32"/>
      <c r="H30" s="33"/>
      <c r="I30" s="34"/>
      <c r="J30" s="62">
        <f>'A ▪ Bestandseingabe'!P86</f>
        <v>0</v>
      </c>
      <c r="K30" s="965">
        <f>'A ▪ Bestandseingabe'!P88</f>
        <v>0</v>
      </c>
      <c r="L30" s="33"/>
      <c r="M30" s="33"/>
      <c r="N30" s="33"/>
      <c r="O30" s="34"/>
      <c r="T30" s="113"/>
    </row>
    <row r="31" spans="2:22" ht="18" customHeight="1">
      <c r="B31" s="28" t="s">
        <v>44</v>
      </c>
      <c r="C31" s="29"/>
      <c r="D31" s="1904" t="s">
        <v>3</v>
      </c>
      <c r="E31" s="1902"/>
      <c r="F31" s="1904" t="s">
        <v>7</v>
      </c>
      <c r="G31" s="1902"/>
      <c r="H31" s="1918" t="s">
        <v>741</v>
      </c>
      <c r="I31" s="1919"/>
      <c r="J31" s="1902" t="s">
        <v>3</v>
      </c>
      <c r="K31" s="1903"/>
      <c r="L31" s="1904" t="s">
        <v>7</v>
      </c>
      <c r="M31" s="1903"/>
      <c r="N31" s="1916" t="s">
        <v>741</v>
      </c>
      <c r="O31" s="1917"/>
    </row>
    <row r="32" spans="2:22" ht="18" customHeight="1" thickBot="1">
      <c r="B32" s="16" t="s">
        <v>21</v>
      </c>
      <c r="C32" s="17"/>
      <c r="D32" s="18" t="s">
        <v>35</v>
      </c>
      <c r="E32" s="19" t="s">
        <v>19</v>
      </c>
      <c r="F32" s="18" t="s">
        <v>35</v>
      </c>
      <c r="G32" s="19" t="s">
        <v>19</v>
      </c>
      <c r="H32" s="18" t="s">
        <v>35</v>
      </c>
      <c r="I32" s="20" t="s">
        <v>19</v>
      </c>
      <c r="J32" s="21" t="s">
        <v>35</v>
      </c>
      <c r="K32" s="19" t="s">
        <v>19</v>
      </c>
      <c r="L32" s="18" t="s">
        <v>35</v>
      </c>
      <c r="M32" s="19" t="s">
        <v>19</v>
      </c>
      <c r="N32" s="18" t="s">
        <v>35</v>
      </c>
      <c r="O32" s="20" t="s">
        <v>19</v>
      </c>
      <c r="P32" s="121"/>
      <c r="Q32" s="98" t="s">
        <v>36</v>
      </c>
      <c r="R32" s="99"/>
      <c r="S32" s="99"/>
      <c r="T32" s="99"/>
      <c r="U32" s="99"/>
      <c r="V32" s="99"/>
    </row>
    <row r="33" spans="1:23" ht="18" customHeight="1">
      <c r="B33" s="22" t="s">
        <v>4</v>
      </c>
      <c r="C33" s="23"/>
      <c r="D33" s="35">
        <f>'A ▪ Bestandseingabe'!E94</f>
        <v>0</v>
      </c>
      <c r="E33" s="36">
        <f>'A ▪ Bestandseingabe'!F94</f>
        <v>0</v>
      </c>
      <c r="F33" s="35">
        <f>'A ▪ Bestandseingabe'!G94</f>
        <v>0</v>
      </c>
      <c r="G33" s="36">
        <f>'A ▪ Bestandseingabe'!H94</f>
        <v>0</v>
      </c>
      <c r="H33" s="35">
        <f>'A ▪ Bestandseingabe'!I94</f>
        <v>0</v>
      </c>
      <c r="I33" s="37">
        <f>'A ▪ Bestandseingabe'!J94</f>
        <v>0</v>
      </c>
      <c r="J33" s="38">
        <f>'A ▪ Bestandseingabe'!O94</f>
        <v>0</v>
      </c>
      <c r="K33" s="36">
        <f>'A ▪ Bestandseingabe'!P94</f>
        <v>0</v>
      </c>
      <c r="L33" s="35">
        <f>'A ▪ Bestandseingabe'!Q94</f>
        <v>0</v>
      </c>
      <c r="M33" s="36">
        <f>'A ▪ Bestandseingabe'!R94</f>
        <v>0</v>
      </c>
      <c r="N33" s="35">
        <f>'A ▪ Bestandseingabe'!S94</f>
        <v>0</v>
      </c>
      <c r="O33" s="37">
        <f>'A ▪ Bestandseingabe'!T94</f>
        <v>0</v>
      </c>
      <c r="P33" s="106"/>
      <c r="Q33" s="104">
        <f>IF((D33-E33)&lt;0,1,0)</f>
        <v>0</v>
      </c>
      <c r="R33" s="97">
        <f>IF((F33-G33)&lt;0,1,0)</f>
        <v>0</v>
      </c>
      <c r="S33" s="100">
        <f>IF((H33-I33)&lt;0,1,0)</f>
        <v>0</v>
      </c>
      <c r="T33" s="104">
        <f>IF((J33-K33)&lt;0,1,0)</f>
        <v>0</v>
      </c>
      <c r="U33" s="97">
        <f>IF((L33-M33)&lt;0,1,0)</f>
        <v>0</v>
      </c>
      <c r="V33" s="100">
        <f>IF((N33-O33)&lt;0,1,0)</f>
        <v>0</v>
      </c>
    </row>
    <row r="34" spans="1:23" ht="18" customHeight="1">
      <c r="B34" s="22" t="s">
        <v>5</v>
      </c>
      <c r="C34" s="23"/>
      <c r="D34" s="35">
        <f>'A ▪ Bestandseingabe'!E95</f>
        <v>0</v>
      </c>
      <c r="E34" s="36">
        <f>'A ▪ Bestandseingabe'!F95</f>
        <v>0</v>
      </c>
      <c r="F34" s="35">
        <f>'A ▪ Bestandseingabe'!G95</f>
        <v>0</v>
      </c>
      <c r="G34" s="36">
        <f>'A ▪ Bestandseingabe'!H95</f>
        <v>0</v>
      </c>
      <c r="H34" s="35">
        <f>'A ▪ Bestandseingabe'!I95</f>
        <v>0</v>
      </c>
      <c r="I34" s="37">
        <f>'A ▪ Bestandseingabe'!J95</f>
        <v>0</v>
      </c>
      <c r="J34" s="38">
        <f>'A ▪ Bestandseingabe'!O95</f>
        <v>0</v>
      </c>
      <c r="K34" s="36">
        <f>'A ▪ Bestandseingabe'!P95</f>
        <v>0</v>
      </c>
      <c r="L34" s="35">
        <f>'A ▪ Bestandseingabe'!Q95</f>
        <v>0</v>
      </c>
      <c r="M34" s="36">
        <f>'A ▪ Bestandseingabe'!R95</f>
        <v>0</v>
      </c>
      <c r="N34" s="35">
        <f>'A ▪ Bestandseingabe'!S95</f>
        <v>0</v>
      </c>
      <c r="O34" s="37">
        <f>'A ▪ Bestandseingabe'!T95</f>
        <v>0</v>
      </c>
      <c r="P34" s="106"/>
      <c r="Q34" s="105">
        <f t="shared" ref="Q34:Q37" si="18">IF((D34-E34)&lt;0,1,0)</f>
        <v>0</v>
      </c>
      <c r="R34" s="96">
        <f t="shared" ref="R34:R36" si="19">IF((F34-G34)&lt;0,1,0)</f>
        <v>0</v>
      </c>
      <c r="S34" s="101">
        <f t="shared" ref="S34:S36" si="20">IF((H34-I34)&lt;0,1,0)</f>
        <v>0</v>
      </c>
      <c r="T34" s="105">
        <f t="shared" ref="T34:T37" si="21">IF((J34-K34)&lt;0,1,0)</f>
        <v>0</v>
      </c>
      <c r="U34" s="96">
        <f t="shared" ref="U34:U36" si="22">IF((L34-M34)&lt;0,1,0)</f>
        <v>0</v>
      </c>
      <c r="V34" s="101">
        <f t="shared" ref="V34:V36" si="23">IF((N34-O34)&lt;0,1,0)</f>
        <v>0</v>
      </c>
    </row>
    <row r="35" spans="1:23" ht="18" customHeight="1">
      <c r="A35" s="2"/>
      <c r="B35" s="22" t="s">
        <v>296</v>
      </c>
      <c r="C35" s="23"/>
      <c r="D35" s="35">
        <f>'A ▪ Bestandseingabe'!E96</f>
        <v>0</v>
      </c>
      <c r="E35" s="36">
        <f>'A ▪ Bestandseingabe'!F96</f>
        <v>0</v>
      </c>
      <c r="F35" s="35">
        <f>'A ▪ Bestandseingabe'!G96</f>
        <v>0</v>
      </c>
      <c r="G35" s="36">
        <f>'A ▪ Bestandseingabe'!H96</f>
        <v>0</v>
      </c>
      <c r="H35" s="35">
        <f>'A ▪ Bestandseingabe'!I96</f>
        <v>0</v>
      </c>
      <c r="I35" s="37">
        <f>'A ▪ Bestandseingabe'!J96</f>
        <v>0</v>
      </c>
      <c r="J35" s="38">
        <f>'A ▪ Bestandseingabe'!O96</f>
        <v>0</v>
      </c>
      <c r="K35" s="36">
        <f>'A ▪ Bestandseingabe'!P96</f>
        <v>0</v>
      </c>
      <c r="L35" s="35">
        <f>'A ▪ Bestandseingabe'!Q96</f>
        <v>0</v>
      </c>
      <c r="M35" s="36">
        <f>'A ▪ Bestandseingabe'!R96</f>
        <v>0</v>
      </c>
      <c r="N35" s="35">
        <f>'A ▪ Bestandseingabe'!S96</f>
        <v>0</v>
      </c>
      <c r="O35" s="37">
        <f>'A ▪ Bestandseingabe'!T96</f>
        <v>0</v>
      </c>
      <c r="P35" s="106"/>
      <c r="Q35" s="105">
        <f t="shared" si="18"/>
        <v>0</v>
      </c>
      <c r="R35" s="96">
        <f t="shared" si="19"/>
        <v>0</v>
      </c>
      <c r="S35" s="101">
        <f t="shared" si="20"/>
        <v>0</v>
      </c>
      <c r="T35" s="105">
        <f t="shared" si="21"/>
        <v>0</v>
      </c>
      <c r="U35" s="96">
        <f t="shared" si="22"/>
        <v>0</v>
      </c>
      <c r="V35" s="101">
        <f t="shared" si="23"/>
        <v>0</v>
      </c>
    </row>
    <row r="36" spans="1:23" ht="18" customHeight="1" thickBot="1">
      <c r="A36" s="2"/>
      <c r="B36" s="24" t="s">
        <v>6</v>
      </c>
      <c r="C36" s="25"/>
      <c r="D36" s="35">
        <f>'A ▪ Bestandseingabe'!E97</f>
        <v>0</v>
      </c>
      <c r="E36" s="36">
        <f>'A ▪ Bestandseingabe'!F97</f>
        <v>0</v>
      </c>
      <c r="F36" s="35">
        <f>'A ▪ Bestandseingabe'!G97</f>
        <v>0</v>
      </c>
      <c r="G36" s="36">
        <f>'A ▪ Bestandseingabe'!H97</f>
        <v>0</v>
      </c>
      <c r="H36" s="35">
        <f>'A ▪ Bestandseingabe'!I97</f>
        <v>0</v>
      </c>
      <c r="I36" s="37">
        <f>'A ▪ Bestandseingabe'!J97</f>
        <v>0</v>
      </c>
      <c r="J36" s="38">
        <f>'A ▪ Bestandseingabe'!O97</f>
        <v>0</v>
      </c>
      <c r="K36" s="36">
        <f>'A ▪ Bestandseingabe'!P97</f>
        <v>0</v>
      </c>
      <c r="L36" s="35">
        <f>'A ▪ Bestandseingabe'!Q97</f>
        <v>0</v>
      </c>
      <c r="M36" s="36">
        <f>'A ▪ Bestandseingabe'!R97</f>
        <v>0</v>
      </c>
      <c r="N36" s="35">
        <f>'A ▪ Bestandseingabe'!S97</f>
        <v>0</v>
      </c>
      <c r="O36" s="37">
        <f>'A ▪ Bestandseingabe'!T97</f>
        <v>0</v>
      </c>
      <c r="P36" s="106"/>
      <c r="Q36" s="105">
        <f t="shared" si="18"/>
        <v>0</v>
      </c>
      <c r="R36" s="119">
        <f t="shared" si="19"/>
        <v>0</v>
      </c>
      <c r="S36" s="103">
        <f t="shared" si="20"/>
        <v>0</v>
      </c>
      <c r="T36" s="105">
        <f t="shared" si="21"/>
        <v>0</v>
      </c>
      <c r="U36" s="102">
        <f t="shared" si="22"/>
        <v>0</v>
      </c>
      <c r="V36" s="103">
        <f t="shared" si="23"/>
        <v>0</v>
      </c>
    </row>
    <row r="37" spans="1:23" ht="18" customHeight="1" thickBot="1">
      <c r="A37" s="2"/>
      <c r="B37" s="22" t="s">
        <v>207</v>
      </c>
      <c r="C37" s="23"/>
      <c r="D37" s="35">
        <f>'A ▪ Bestandseingabe'!E99</f>
        <v>0</v>
      </c>
      <c r="E37" s="63">
        <f>'A ▪ Bestandseingabe'!F99</f>
        <v>0</v>
      </c>
      <c r="F37" s="95" t="str">
        <f>IF(SUM(Q33:S37)&gt;0,$B$130,"")</f>
        <v/>
      </c>
      <c r="G37" s="30"/>
      <c r="H37" s="30"/>
      <c r="I37" s="31"/>
      <c r="J37" s="35">
        <f>'A ▪ Bestandseingabe'!O99</f>
        <v>0</v>
      </c>
      <c r="K37" s="39">
        <f>'A ▪ Bestandseingabe'!P99</f>
        <v>0</v>
      </c>
      <c r="L37" s="95" t="str">
        <f>IF(SUM(T33:V37)&gt;0,$B$130,"")</f>
        <v/>
      </c>
      <c r="M37" s="30"/>
      <c r="N37" s="30"/>
      <c r="O37" s="31"/>
      <c r="P37" s="107" t="s">
        <v>29</v>
      </c>
      <c r="Q37" s="120">
        <f t="shared" si="18"/>
        <v>0</v>
      </c>
      <c r="R37" s="113"/>
      <c r="S37" s="112"/>
      <c r="T37" s="108">
        <f t="shared" si="21"/>
        <v>0</v>
      </c>
      <c r="U37" s="118"/>
      <c r="V37" s="113"/>
    </row>
    <row r="38" spans="1:23" ht="18" customHeight="1" thickBot="1">
      <c r="A38" s="2"/>
      <c r="B38" s="26" t="s">
        <v>870</v>
      </c>
      <c r="C38" s="27"/>
      <c r="D38" s="62">
        <f>'A ▪ Bestandseingabe'!F101</f>
        <v>0</v>
      </c>
      <c r="E38" s="965">
        <f>'A ▪ Bestandseingabe'!F103</f>
        <v>0</v>
      </c>
      <c r="F38" s="32"/>
      <c r="G38" s="32"/>
      <c r="H38" s="33"/>
      <c r="I38" s="34"/>
      <c r="J38" s="62">
        <f>'A ▪ Bestandseingabe'!P101</f>
        <v>0</v>
      </c>
      <c r="K38" s="964">
        <f>'A ▪ Bestandseingabe'!P103</f>
        <v>0</v>
      </c>
      <c r="L38" s="33"/>
      <c r="M38" s="33"/>
      <c r="N38" s="33"/>
      <c r="O38" s="34"/>
      <c r="Q38" s="113"/>
      <c r="T38" s="113"/>
    </row>
    <row r="39" spans="1:23" ht="18" customHeight="1" thickBot="1">
      <c r="A39" s="2"/>
      <c r="Q39" s="136" t="s">
        <v>161</v>
      </c>
      <c r="R39" s="122">
        <f>IF(VA_BESTANDSEINGABE&gt;0,SUM(Q9:S13,Q17:S21,Q25:S29,Q33:S37),0)+IF(VA_BESTANDSEINGABE=2,SUM(T9:V13,T17:V21,T25:V29,T33:V37,0))</f>
        <v>0</v>
      </c>
      <c r="T39"/>
      <c r="U39"/>
      <c r="V39" s="969"/>
    </row>
    <row r="40" spans="1:23" ht="18" customHeight="1" thickBot="1">
      <c r="A40" s="2"/>
      <c r="L40" s="966" t="s">
        <v>869</v>
      </c>
      <c r="M40" s="967">
        <f>IF(VA_ZUSAMMEN=0,SUM(E14,E22,E30,E38),SUM(E14,E22,E30,E38)+W40)</f>
        <v>0</v>
      </c>
      <c r="V40" s="968" t="s">
        <v>869</v>
      </c>
      <c r="W40" s="967">
        <f>SUM(K14,K22,K30,K38)</f>
        <v>0</v>
      </c>
    </row>
    <row r="41" spans="1:23" ht="18" customHeight="1">
      <c r="A41" s="2"/>
      <c r="B41" s="1865" t="s">
        <v>13</v>
      </c>
      <c r="C41" s="1866"/>
      <c r="D41" s="1911" t="s">
        <v>1</v>
      </c>
      <c r="E41" s="1912"/>
      <c r="F41" s="1913"/>
      <c r="G41" s="1907" t="s">
        <v>610</v>
      </c>
      <c r="H41" s="1907"/>
      <c r="I41" s="1907"/>
      <c r="J41" s="1908" t="s">
        <v>2</v>
      </c>
      <c r="K41" s="1909"/>
      <c r="L41" s="1914"/>
      <c r="M41" s="50" t="s">
        <v>39</v>
      </c>
      <c r="N41" s="1915" t="s">
        <v>1</v>
      </c>
      <c r="O41" s="1912"/>
      <c r="P41" s="1913"/>
      <c r="Q41" s="1907" t="s">
        <v>610</v>
      </c>
      <c r="R41" s="1907"/>
      <c r="S41" s="1907"/>
      <c r="T41" s="1908" t="s">
        <v>2</v>
      </c>
      <c r="U41" s="1909"/>
      <c r="V41" s="1909"/>
      <c r="W41" s="50" t="s">
        <v>39</v>
      </c>
    </row>
    <row r="42" spans="1:23" ht="18" customHeight="1">
      <c r="A42" s="2"/>
      <c r="B42" s="1910"/>
      <c r="C42" s="1896"/>
      <c r="D42" s="45" t="s">
        <v>35</v>
      </c>
      <c r="E42" s="47" t="s">
        <v>19</v>
      </c>
      <c r="F42" s="46" t="s">
        <v>38</v>
      </c>
      <c r="G42" s="45" t="s">
        <v>35</v>
      </c>
      <c r="H42" s="47" t="s">
        <v>19</v>
      </c>
      <c r="I42" s="46" t="s">
        <v>38</v>
      </c>
      <c r="J42" s="45" t="s">
        <v>35</v>
      </c>
      <c r="K42" s="47" t="s">
        <v>19</v>
      </c>
      <c r="L42" s="46" t="s">
        <v>38</v>
      </c>
      <c r="M42" s="49" t="s">
        <v>19</v>
      </c>
      <c r="N42" s="47" t="s">
        <v>35</v>
      </c>
      <c r="O42" s="47" t="s">
        <v>19</v>
      </c>
      <c r="P42" s="46" t="s">
        <v>38</v>
      </c>
      <c r="Q42" s="45" t="s">
        <v>35</v>
      </c>
      <c r="R42" s="47" t="s">
        <v>19</v>
      </c>
      <c r="S42" s="46" t="s">
        <v>38</v>
      </c>
      <c r="T42" s="45" t="s">
        <v>35</v>
      </c>
      <c r="U42" s="47" t="s">
        <v>19</v>
      </c>
      <c r="V42" s="46" t="s">
        <v>38</v>
      </c>
      <c r="W42" s="49" t="s">
        <v>19</v>
      </c>
    </row>
    <row r="43" spans="1:23" ht="18" customHeight="1">
      <c r="A43" s="2"/>
      <c r="B43" s="44" t="s">
        <v>41</v>
      </c>
      <c r="C43" s="169"/>
      <c r="D43" s="53">
        <f>IF(VA_ZUSAMMEN=0,SUM(F10:F12),SUM(F10:F12)+N43)</f>
        <v>0</v>
      </c>
      <c r="E43" s="54">
        <f>IF(VA_ZUSAMMEN=0,SUM(G10:G12),SUM(G10:G12)+O43)</f>
        <v>0</v>
      </c>
      <c r="F43" s="65" t="str">
        <f>IFERROR(E43/D43,"-")</f>
        <v>-</v>
      </c>
      <c r="G43" s="53">
        <f>IF(VA_ZUSAMMEN=0,SUM(H10:H12,D13),SUM(H10:H12,D13)+Q43)</f>
        <v>0</v>
      </c>
      <c r="H43" s="54">
        <f>IF(VA_ZUSAMMEN=0,SUM(I10:I12,E13),SUM(I10:I12,E13)+R43)</f>
        <v>0</v>
      </c>
      <c r="I43" s="65" t="str">
        <f>IFERROR(H43/G43,"-")</f>
        <v>-</v>
      </c>
      <c r="J43" s="53">
        <f>IF(VA_ZUSAMMEN=0,SUM(D9:D12,F9,H9),SUM(D9:D12,F9,H9)+T43)</f>
        <v>0</v>
      </c>
      <c r="K43" s="54">
        <f>IF(VA_ZUSAMMEN=0,SUM(E9:E12,G9,I9),SUM(E9:E12,G9,I9)+U43)</f>
        <v>0</v>
      </c>
      <c r="L43" s="65" t="str">
        <f>IFERROR(K43/J43,"-")</f>
        <v>-</v>
      </c>
      <c r="M43" s="55">
        <f>IF(VA_ZUSAMMEN=0,D14,D14+W43)</f>
        <v>0</v>
      </c>
      <c r="N43" s="53">
        <f>SUM(L10:L12)</f>
        <v>0</v>
      </c>
      <c r="O43" s="54">
        <f>SUM(M10:M12)</f>
        <v>0</v>
      </c>
      <c r="P43" s="65" t="str">
        <f>IFERROR(O43/N43,"-")</f>
        <v>-</v>
      </c>
      <c r="Q43" s="53">
        <f>SUM(N10:N12,J13)</f>
        <v>0</v>
      </c>
      <c r="R43" s="54">
        <f>SUM(O10:O12,K13)</f>
        <v>0</v>
      </c>
      <c r="S43" s="65" t="str">
        <f>IFERROR(R43/Q43,"-")</f>
        <v>-</v>
      </c>
      <c r="T43" s="53">
        <f>SUM(J9:J12,L9,N9)</f>
        <v>0</v>
      </c>
      <c r="U43" s="54">
        <f>SUM(K9:K12,M9,O9)</f>
        <v>0</v>
      </c>
      <c r="V43" s="65" t="str">
        <f>IFERROR(U43/T43,"-")</f>
        <v>-</v>
      </c>
      <c r="W43" s="55">
        <f>J14</f>
        <v>0</v>
      </c>
    </row>
    <row r="44" spans="1:23" ht="18" customHeight="1">
      <c r="A44" s="2"/>
      <c r="B44" s="44" t="s">
        <v>42</v>
      </c>
      <c r="C44" s="48"/>
      <c r="D44" s="53">
        <f>IF(VA_ZUSAMMEN=0,SUM(F18:F20),SUM(F18:F20)+N44)</f>
        <v>0</v>
      </c>
      <c r="E44" s="54">
        <f>IF(VA_ZUSAMMEN=0,SUM(G18:G20),SUM(G18:G20)+O44)</f>
        <v>0</v>
      </c>
      <c r="F44" s="65" t="str">
        <f>IFERROR(E44/D44,"-")</f>
        <v>-</v>
      </c>
      <c r="G44" s="53">
        <f>IF(VA_ZUSAMMEN=0,SUM(H18:H20,D21),SUM(H18:H20,D21)+Q44)</f>
        <v>0</v>
      </c>
      <c r="H44" s="54">
        <f>IF(VA_ZUSAMMEN=0,SUM(I18:I20,E21),SUM(I18:I20,E21)+R44)</f>
        <v>0</v>
      </c>
      <c r="I44" s="65" t="str">
        <f>IFERROR(H44/G44,"-")</f>
        <v>-</v>
      </c>
      <c r="J44" s="53">
        <f>IF(VA_ZUSAMMEN=0,SUM(D17:D20,F17,H17),SUM(D17:D20,F17,H17)+T44)</f>
        <v>0</v>
      </c>
      <c r="K44" s="54">
        <f>IF(VA_ZUSAMMEN=0,SUM(E17:E20,G17,I17),SUM(E17:E20,G17,I17)+U44)</f>
        <v>0</v>
      </c>
      <c r="L44" s="65" t="str">
        <f>IFERROR(K44/J44,"-")</f>
        <v>-</v>
      </c>
      <c r="M44" s="55">
        <f>IF(VA_ZUSAMMEN=0,D22,D22+W44)</f>
        <v>0</v>
      </c>
      <c r="N44" s="53">
        <f>SUM(L18:L20)</f>
        <v>0</v>
      </c>
      <c r="O44" s="54">
        <f>SUM(M18:M20)</f>
        <v>0</v>
      </c>
      <c r="P44" s="65" t="str">
        <f>IFERROR(O44/N44,"-")</f>
        <v>-</v>
      </c>
      <c r="Q44" s="53">
        <f>SUM(N18:N20,J21)</f>
        <v>0</v>
      </c>
      <c r="R44" s="54">
        <f>SUM(O18:O20,K21)</f>
        <v>0</v>
      </c>
      <c r="S44" s="65" t="str">
        <f>IFERROR(R44/Q44,"-")</f>
        <v>-</v>
      </c>
      <c r="T44" s="53">
        <f>SUM(J17:J20,L17,N17)</f>
        <v>0</v>
      </c>
      <c r="U44" s="54">
        <f>SUM(K17:K20,M17,O17)</f>
        <v>0</v>
      </c>
      <c r="V44" s="65" t="str">
        <f>IFERROR(U44/T44,"-")</f>
        <v>-</v>
      </c>
      <c r="W44" s="55">
        <f>J22</f>
        <v>0</v>
      </c>
    </row>
    <row r="45" spans="1:23" ht="18" customHeight="1">
      <c r="A45" s="2"/>
      <c r="B45" s="44" t="s">
        <v>43</v>
      </c>
      <c r="C45" s="48"/>
      <c r="D45" s="59"/>
      <c r="E45" s="60"/>
      <c r="F45" s="61"/>
      <c r="G45" s="53">
        <f>IF(VA_ZUSAMMEN=0,SUM(H26:H28,D29),SUM(H26:H28,D29)+Q45)</f>
        <v>0</v>
      </c>
      <c r="H45" s="54">
        <f>IF(VA_ZUSAMMEN=0,SUM(I26:I28,E29),SUM(I26:I28,E29)+R45)</f>
        <v>0</v>
      </c>
      <c r="I45" s="65" t="str">
        <f>IFERROR(H45/G45,"-")</f>
        <v>-</v>
      </c>
      <c r="J45" s="53">
        <f>IF(VA_ZUSAMMEN=0,SUM(D25:D28,F25:F28,H25),SUM(D25:D28,F25:F28,H25)+T45)</f>
        <v>0</v>
      </c>
      <c r="K45" s="54">
        <f>IF(VA_ZUSAMMEN=0,SUM(E25:E28,G25:G28,I25),SUM(E25:E28,G25:G28,I25)+U45)</f>
        <v>0</v>
      </c>
      <c r="L45" s="65" t="str">
        <f>IFERROR(K45/J45,"-")</f>
        <v>-</v>
      </c>
      <c r="M45" s="55">
        <f>IF(VA_ZUSAMMEN=0,D30,D30+W45)</f>
        <v>0</v>
      </c>
      <c r="N45" s="60"/>
      <c r="O45" s="60"/>
      <c r="P45" s="61"/>
      <c r="Q45" s="53">
        <f>SUM(N26:N28,J29)</f>
        <v>0</v>
      </c>
      <c r="R45" s="54">
        <f>SUM(O26:O28,K29)</f>
        <v>0</v>
      </c>
      <c r="S45" s="65" t="str">
        <f>IFERROR(R45/Q45,"-")</f>
        <v>-</v>
      </c>
      <c r="T45" s="53">
        <f>SUM(J25:J28,L25:L28,N25)</f>
        <v>0</v>
      </c>
      <c r="U45" s="54">
        <f>SUM(K25:K28,M25:M28,O25)</f>
        <v>0</v>
      </c>
      <c r="V45" s="65" t="str">
        <f>IFERROR(U45/T45,"-")</f>
        <v>-</v>
      </c>
      <c r="W45" s="55">
        <f>J30</f>
        <v>0</v>
      </c>
    </row>
    <row r="46" spans="1:23" ht="18" customHeight="1">
      <c r="A46" s="2"/>
      <c r="B46" s="44" t="s">
        <v>44</v>
      </c>
      <c r="C46" s="48"/>
      <c r="D46" s="59"/>
      <c r="E46" s="60"/>
      <c r="F46" s="61"/>
      <c r="G46" s="59"/>
      <c r="H46" s="60"/>
      <c r="I46" s="61"/>
      <c r="J46" s="53">
        <f>IF(VA_ZUSAMMEN=0,SUM(D33:D37,F33:F36,H33:H36),SUM(D33:D37,F33:F36,H33:H36)+T46)</f>
        <v>0</v>
      </c>
      <c r="K46" s="54">
        <f>IF(VA_ZUSAMMEN=0,SUM(E33:E37,G33:G36,I33:I36),SUM(E33:E37,G33:G36,I33:I36)+U46)</f>
        <v>0</v>
      </c>
      <c r="L46" s="65" t="str">
        <f>IFERROR(K46/J46,"-")</f>
        <v>-</v>
      </c>
      <c r="M46" s="55">
        <f>IF(VA_ZUSAMMEN=0,D38,D38+W46)</f>
        <v>0</v>
      </c>
      <c r="N46" s="60"/>
      <c r="O46" s="60"/>
      <c r="P46" s="61"/>
      <c r="Q46" s="59"/>
      <c r="R46" s="60"/>
      <c r="S46" s="61"/>
      <c r="T46" s="53">
        <f>SUM(J33:J37,L33:L36,N33:N36)</f>
        <v>0</v>
      </c>
      <c r="U46" s="54">
        <f>SUM(K33:K37,M33:M36,O33:O36)</f>
        <v>0</v>
      </c>
      <c r="V46" s="65" t="str">
        <f>IFERROR(U46/T46,"-")</f>
        <v>-</v>
      </c>
      <c r="W46" s="55">
        <f>J38</f>
        <v>0</v>
      </c>
    </row>
    <row r="47" spans="1:23" ht="18" customHeight="1" thickBot="1">
      <c r="A47" s="2"/>
      <c r="B47" s="51" t="s">
        <v>40</v>
      </c>
      <c r="C47" s="52"/>
      <c r="D47" s="56">
        <f>SUM(D43:D46)</f>
        <v>0</v>
      </c>
      <c r="E47" s="57">
        <f>SUM(E43:E46)</f>
        <v>0</v>
      </c>
      <c r="F47" s="64" t="str">
        <f>IFERROR(E47/D47,"-")</f>
        <v>-</v>
      </c>
      <c r="G47" s="56">
        <f>SUM(G43:G46)</f>
        <v>0</v>
      </c>
      <c r="H47" s="172">
        <f>SUM(H43:H46)</f>
        <v>0</v>
      </c>
      <c r="I47" s="64" t="str">
        <f>IFERROR(H47/G47,"-")</f>
        <v>-</v>
      </c>
      <c r="J47" s="56">
        <f>SUM(J43:J46)</f>
        <v>0</v>
      </c>
      <c r="K47" s="57">
        <f>SUM(K43:K46)</f>
        <v>0</v>
      </c>
      <c r="L47" s="64" t="str">
        <f>IFERROR(K47/J47,"-")</f>
        <v>-</v>
      </c>
      <c r="M47" s="58">
        <f>SUM(M43:M46)</f>
        <v>0</v>
      </c>
      <c r="N47" s="57">
        <f>SUM(N43:N46)</f>
        <v>0</v>
      </c>
      <c r="O47" s="57">
        <f>SUM(O43:O46)</f>
        <v>0</v>
      </c>
      <c r="P47" s="64" t="str">
        <f>IFERROR(O47/N47,"-")</f>
        <v>-</v>
      </c>
      <c r="Q47" s="56">
        <f>SUM(Q43:Q46)</f>
        <v>0</v>
      </c>
      <c r="R47" s="57">
        <f>SUM(R43:R46)</f>
        <v>0</v>
      </c>
      <c r="S47" s="64" t="str">
        <f>IFERROR(R47/Q47,"-")</f>
        <v>-</v>
      </c>
      <c r="T47" s="56">
        <f>SUM(T43:T46)</f>
        <v>0</v>
      </c>
      <c r="U47" s="57">
        <f>SUM(U43:U46)</f>
        <v>0</v>
      </c>
      <c r="V47" s="64" t="str">
        <f>IFERROR(U47/T47,"-")</f>
        <v>-</v>
      </c>
      <c r="W47" s="58">
        <f>SUM(W43:W46)</f>
        <v>0</v>
      </c>
    </row>
    <row r="48" spans="1:23" ht="18" customHeight="1" thickBot="1">
      <c r="A48" s="177"/>
      <c r="B48" s="1899" t="s">
        <v>205</v>
      </c>
      <c r="C48" s="1936"/>
      <c r="D48" s="1934" t="s">
        <v>211</v>
      </c>
      <c r="E48" s="1934"/>
      <c r="F48" s="1935"/>
      <c r="G48" s="175">
        <f>IF(
AND(VA_BESTANDSEINGABE=1,G47&gt;0),1,IF(
AND(VA_BESTANDSEINGABE=2,G47+Q47&gt;0),1,
0))</f>
        <v>0</v>
      </c>
      <c r="H48" s="170"/>
      <c r="I48" s="195" t="s">
        <v>246</v>
      </c>
      <c r="J48" s="196">
        <f>D47+G47+J47</f>
        <v>0</v>
      </c>
      <c r="K48" s="196">
        <f>D47+G47</f>
        <v>0</v>
      </c>
      <c r="L48" s="496" t="s">
        <v>245</v>
      </c>
      <c r="M48" s="176">
        <f>E47+H47+K47+M47</f>
        <v>0</v>
      </c>
      <c r="N48" s="171"/>
      <c r="O48" s="171"/>
      <c r="P48" s="171"/>
      <c r="Q48" s="174" t="s">
        <v>66</v>
      </c>
      <c r="R48" s="173"/>
      <c r="S48" s="195" t="s">
        <v>246</v>
      </c>
      <c r="T48" s="197">
        <f>N47+Q47+T47</f>
        <v>0</v>
      </c>
      <c r="U48" s="197">
        <f>N47+Q47</f>
        <v>0</v>
      </c>
      <c r="V48" s="496" t="s">
        <v>245</v>
      </c>
      <c r="W48" s="176">
        <f>O47+R47+U47+W47</f>
        <v>0</v>
      </c>
    </row>
    <row r="49" spans="1:24" ht="18" customHeight="1" thickBot="1">
      <c r="A49" s="2"/>
      <c r="B49" s="497"/>
      <c r="C49" s="497"/>
      <c r="H49" s="198"/>
      <c r="I49" s="199" t="s">
        <v>247</v>
      </c>
      <c r="J49" s="200" t="s">
        <v>485</v>
      </c>
      <c r="K49" s="200" t="s">
        <v>486</v>
      </c>
      <c r="L49" s="201"/>
      <c r="M49" s="200" t="s">
        <v>485</v>
      </c>
      <c r="N49" s="201"/>
      <c r="O49" s="201"/>
      <c r="P49" s="201"/>
      <c r="Q49" s="201"/>
      <c r="R49" s="201"/>
      <c r="S49" s="201"/>
      <c r="T49" s="200" t="s">
        <v>485</v>
      </c>
      <c r="U49" s="200" t="s">
        <v>486</v>
      </c>
      <c r="V49" s="201"/>
      <c r="W49" s="200" t="s">
        <v>485</v>
      </c>
    </row>
    <row r="50" spans="1:24" ht="18" customHeight="1">
      <c r="A50" s="2"/>
      <c r="B50" s="74" t="s">
        <v>22</v>
      </c>
      <c r="C50" s="75"/>
      <c r="D50" s="75"/>
      <c r="E50" s="75"/>
      <c r="F50" s="75"/>
      <c r="G50" s="75"/>
      <c r="H50" s="75"/>
      <c r="I50" s="75"/>
      <c r="J50" s="75"/>
      <c r="K50" s="75"/>
      <c r="L50" s="75"/>
      <c r="M50" s="75"/>
      <c r="N50" s="75"/>
      <c r="O50" s="75"/>
      <c r="P50" s="75"/>
      <c r="Q50" s="75"/>
      <c r="R50" s="75"/>
      <c r="S50" s="75"/>
      <c r="T50" s="75"/>
      <c r="U50" s="75"/>
      <c r="V50" s="75"/>
      <c r="W50" s="76"/>
    </row>
    <row r="51" spans="1:24" ht="18" customHeight="1" thickBot="1">
      <c r="A51" s="2"/>
      <c r="B51" s="67" t="s">
        <v>53</v>
      </c>
      <c r="C51" s="72"/>
      <c r="D51" s="132">
        <f>D47+G47</f>
        <v>0</v>
      </c>
      <c r="E51" s="94" t="str">
        <f>IF(D52&gt;VA_VERLEGUNG_1,B133,"")</f>
        <v/>
      </c>
      <c r="F51" s="3"/>
      <c r="G51" s="3"/>
      <c r="H51" s="3"/>
      <c r="I51" s="3"/>
      <c r="J51" s="3"/>
      <c r="K51" s="3"/>
      <c r="L51" s="3"/>
      <c r="M51" s="68"/>
      <c r="N51" s="133">
        <f>N47+Q47</f>
        <v>0</v>
      </c>
      <c r="O51" s="94" t="str">
        <f>IF(N52&gt;VA_VERLEGUNG_2,$B$133,"")</f>
        <v/>
      </c>
      <c r="P51" s="3"/>
      <c r="Q51" s="3"/>
      <c r="R51" s="3"/>
      <c r="S51" s="3"/>
      <c r="T51" s="3"/>
      <c r="U51" s="3"/>
      <c r="V51" s="3"/>
      <c r="W51" s="68"/>
    </row>
    <row r="52" spans="1:24" ht="18" customHeight="1" thickBot="1">
      <c r="A52" s="2"/>
      <c r="B52" s="69" t="s">
        <v>54</v>
      </c>
      <c r="C52" s="73"/>
      <c r="D52" s="125">
        <f>VE_VERLEGUNG_1</f>
        <v>0</v>
      </c>
      <c r="E52" s="70"/>
      <c r="F52" s="167"/>
      <c r="G52" s="167"/>
      <c r="H52" s="70"/>
      <c r="I52" s="168" t="s">
        <v>199</v>
      </c>
      <c r="J52" s="131">
        <f>D52+N52</f>
        <v>0</v>
      </c>
      <c r="K52" s="70"/>
      <c r="L52" s="70"/>
      <c r="M52" s="71"/>
      <c r="N52" s="126">
        <f>VE_VERLEGUNG_2</f>
        <v>0</v>
      </c>
      <c r="O52" s="70"/>
      <c r="P52" s="70"/>
      <c r="Q52" s="70"/>
      <c r="R52" s="70"/>
      <c r="S52" s="70"/>
      <c r="T52" s="70"/>
      <c r="U52" s="70"/>
      <c r="V52" s="136" t="s">
        <v>162</v>
      </c>
      <c r="W52" s="123">
        <f>IF(AND(VA_BESTANDSEINGABE&gt;0,D52&gt;VA_VERLEGUNG_1),1,0)+IF(AND(VA_BESTANDSEINGABE=2,N52&gt;VA_VERLEGUNG_2),1,0)</f>
        <v>0</v>
      </c>
    </row>
    <row r="53" spans="1:24" ht="18" customHeight="1" thickBot="1">
      <c r="A53" s="2"/>
    </row>
    <row r="54" spans="1:24" ht="18" customHeight="1">
      <c r="A54" s="2"/>
      <c r="B54" s="1865" t="s">
        <v>10</v>
      </c>
      <c r="C54" s="1866"/>
      <c r="D54" s="1931" t="s">
        <v>769</v>
      </c>
      <c r="E54" s="1932"/>
      <c r="F54" s="1932"/>
      <c r="G54" s="1932"/>
      <c r="H54" s="1932"/>
      <c r="I54" s="1933"/>
      <c r="J54" s="1927" t="s">
        <v>100</v>
      </c>
      <c r="K54" s="1928"/>
      <c r="L54" s="1928"/>
      <c r="M54" s="1929"/>
      <c r="N54" s="1931" t="s">
        <v>769</v>
      </c>
      <c r="O54" s="1932"/>
      <c r="P54" s="1932"/>
      <c r="Q54" s="1932"/>
      <c r="R54" s="1932"/>
      <c r="S54" s="1933"/>
      <c r="T54" s="1927" t="s">
        <v>100</v>
      </c>
      <c r="U54" s="1928"/>
      <c r="V54" s="1928"/>
      <c r="W54" s="1929"/>
    </row>
    <row r="55" spans="1:24" ht="18" customHeight="1">
      <c r="A55" s="2"/>
      <c r="B55" s="1910"/>
      <c r="C55" s="1896"/>
      <c r="D55" s="45" t="s">
        <v>35</v>
      </c>
      <c r="E55" s="47" t="s">
        <v>19</v>
      </c>
      <c r="F55" s="46" t="s">
        <v>38</v>
      </c>
      <c r="G55" s="45" t="s">
        <v>35</v>
      </c>
      <c r="H55" s="47" t="s">
        <v>19</v>
      </c>
      <c r="I55" s="46" t="s">
        <v>38</v>
      </c>
      <c r="J55" s="45" t="s">
        <v>35</v>
      </c>
      <c r="K55" s="47" t="s">
        <v>19</v>
      </c>
      <c r="L55" s="46" t="s">
        <v>38</v>
      </c>
      <c r="M55" s="49" t="s">
        <v>19</v>
      </c>
      <c r="N55" s="47" t="s">
        <v>35</v>
      </c>
      <c r="O55" s="47" t="s">
        <v>19</v>
      </c>
      <c r="P55" s="46" t="s">
        <v>38</v>
      </c>
      <c r="Q55" s="45" t="s">
        <v>35</v>
      </c>
      <c r="R55" s="47" t="s">
        <v>19</v>
      </c>
      <c r="S55" s="46" t="s">
        <v>38</v>
      </c>
      <c r="T55" s="45" t="s">
        <v>35</v>
      </c>
      <c r="U55" s="47" t="s">
        <v>19</v>
      </c>
      <c r="V55" s="46" t="s">
        <v>38</v>
      </c>
      <c r="W55" s="49" t="s">
        <v>19</v>
      </c>
    </row>
    <row r="56" spans="1:24" ht="18" customHeight="1">
      <c r="A56" s="2"/>
      <c r="B56" s="87"/>
      <c r="C56" s="3"/>
      <c r="D56" s="127">
        <f>D47+G47</f>
        <v>0</v>
      </c>
      <c r="E56" s="54">
        <f>E47+H47</f>
        <v>0</v>
      </c>
      <c r="F56" s="65" t="str">
        <f>IFERROR(E56/D56,"-")</f>
        <v>-</v>
      </c>
      <c r="G56" s="134" t="s">
        <v>66</v>
      </c>
      <c r="H56" s="134" t="s">
        <v>66</v>
      </c>
      <c r="I56" s="134" t="s">
        <v>66</v>
      </c>
      <c r="J56" s="53">
        <f>J47</f>
        <v>0</v>
      </c>
      <c r="K56" s="54">
        <f>K47+M47</f>
        <v>0</v>
      </c>
      <c r="L56" s="65" t="str">
        <f>IFERROR(K56/J56,"-")</f>
        <v>-</v>
      </c>
      <c r="M56" s="135" t="s">
        <v>66</v>
      </c>
      <c r="N56" s="130">
        <f>N47+Q47</f>
        <v>0</v>
      </c>
      <c r="O56" s="54">
        <f>O47+R47</f>
        <v>0</v>
      </c>
      <c r="P56" s="65" t="str">
        <f>IFERROR(O56/N56,"-")</f>
        <v>-</v>
      </c>
      <c r="Q56" s="134" t="s">
        <v>66</v>
      </c>
      <c r="R56" s="134" t="s">
        <v>66</v>
      </c>
      <c r="S56" s="134" t="s">
        <v>66</v>
      </c>
      <c r="T56" s="53">
        <f>T47</f>
        <v>0</v>
      </c>
      <c r="U56" s="54">
        <f>U47+W47</f>
        <v>0</v>
      </c>
      <c r="V56" s="65" t="str">
        <f>IFERROR(U56/T56,"-")</f>
        <v>-</v>
      </c>
      <c r="W56" s="135" t="s">
        <v>66</v>
      </c>
    </row>
    <row r="57" spans="1:24" ht="18" customHeight="1">
      <c r="A57" s="2"/>
      <c r="B57" s="88" t="s">
        <v>97</v>
      </c>
      <c r="C57" s="3"/>
      <c r="D57" s="84"/>
      <c r="E57" s="128">
        <f>IFERROR(IF(E56/D56&gt;=0.8,E56,0),0)</f>
        <v>0</v>
      </c>
      <c r="F57" s="3"/>
      <c r="G57" s="3"/>
      <c r="H57" s="3"/>
      <c r="I57" s="3"/>
      <c r="J57" s="3"/>
      <c r="K57" s="124">
        <f>K56</f>
        <v>0</v>
      </c>
      <c r="L57" s="3"/>
      <c r="M57" s="86"/>
      <c r="N57" s="84"/>
      <c r="O57" s="124">
        <f>IFERROR(IF(O56/N56&gt;=0.8,O56,0),0)</f>
        <v>0</v>
      </c>
      <c r="P57" s="3"/>
      <c r="Q57" s="3"/>
      <c r="R57" s="3"/>
      <c r="S57" s="3"/>
      <c r="T57" s="3"/>
      <c r="U57" s="127">
        <f>U56</f>
        <v>0</v>
      </c>
      <c r="V57" s="85"/>
      <c r="W57" s="86"/>
    </row>
    <row r="58" spans="1:24" ht="18" customHeight="1" thickBot="1">
      <c r="A58" s="2"/>
      <c r="B58" s="89" t="s">
        <v>98</v>
      </c>
      <c r="C58" s="90"/>
      <c r="D58" s="91"/>
      <c r="E58" s="129">
        <f>IFERROR(IF(E56/D56&gt;=0.8,0,E56),0)</f>
        <v>0</v>
      </c>
      <c r="F58" s="90"/>
      <c r="G58" s="90"/>
      <c r="H58" s="90"/>
      <c r="I58" s="90"/>
      <c r="J58" s="90"/>
      <c r="K58" s="90"/>
      <c r="L58" s="90"/>
      <c r="M58" s="92"/>
      <c r="N58" s="91"/>
      <c r="O58" s="131">
        <f>IFERROR(IF(O56/N56&gt;=0.8,0,O56),0)</f>
        <v>0</v>
      </c>
      <c r="P58" s="90"/>
      <c r="Q58" s="90"/>
      <c r="R58" s="90"/>
      <c r="S58" s="90"/>
      <c r="T58" s="90"/>
      <c r="U58" s="90"/>
      <c r="V58" s="90"/>
      <c r="W58" s="92"/>
    </row>
    <row r="59" spans="1:24" ht="18" customHeight="1" thickBot="1">
      <c r="A59" s="2"/>
    </row>
    <row r="60" spans="1:24" ht="18" customHeight="1">
      <c r="A60" s="2"/>
      <c r="B60" s="74" t="s">
        <v>217</v>
      </c>
      <c r="C60" s="74"/>
      <c r="D60" s="74"/>
      <c r="E60" s="182"/>
      <c r="F60" s="1888" t="s">
        <v>221</v>
      </c>
      <c r="G60" s="1890"/>
      <c r="H60" s="1898" t="s">
        <v>218</v>
      </c>
      <c r="I60" s="1890"/>
      <c r="J60" s="1898" t="s">
        <v>219</v>
      </c>
      <c r="K60" s="1890"/>
      <c r="L60" s="1888" t="s">
        <v>220</v>
      </c>
      <c r="M60" s="1889"/>
      <c r="N60" s="181"/>
      <c r="O60" s="183"/>
      <c r="P60" s="1888" t="s">
        <v>221</v>
      </c>
      <c r="Q60" s="1890"/>
      <c r="R60" s="1898" t="s">
        <v>218</v>
      </c>
      <c r="S60" s="1890"/>
      <c r="T60" s="1898" t="s">
        <v>219</v>
      </c>
      <c r="U60" s="1890"/>
      <c r="V60" s="1888" t="s">
        <v>220</v>
      </c>
      <c r="W60" s="1889"/>
      <c r="X60" s="184"/>
    </row>
    <row r="61" spans="1:24" ht="18" customHeight="1">
      <c r="A61" s="2"/>
      <c r="B61" s="87" t="s">
        <v>222</v>
      </c>
      <c r="C61" s="3"/>
      <c r="D61" s="3"/>
      <c r="E61" s="48"/>
      <c r="F61" s="1924">
        <f>'C ▪ Ergebnisjustierung'!I136</f>
        <v>0</v>
      </c>
      <c r="G61" s="1925"/>
      <c r="H61" s="1924">
        <f>ROUNDUP(SUM('C ▪ Ergebnisjustierung'!G143:J143),0)</f>
        <v>0</v>
      </c>
      <c r="I61" s="1925"/>
      <c r="J61" s="1924">
        <f>'C ▪ Ergebnisjustierung'!G145</f>
        <v>0</v>
      </c>
      <c r="K61" s="1925"/>
      <c r="L61" s="1924">
        <f>'C ▪ Ergebnisjustierung'!I145</f>
        <v>0</v>
      </c>
      <c r="M61" s="1926"/>
      <c r="N61" s="3"/>
      <c r="O61" s="48"/>
      <c r="P61" s="1924">
        <f>'C ▪ Ergebnisjustierung'!S136</f>
        <v>0</v>
      </c>
      <c r="Q61" s="1925"/>
      <c r="R61" s="1924">
        <f>ROUNDUP(SUM('C ▪ Ergebnisjustierung'!Q143:T143),0)</f>
        <v>0</v>
      </c>
      <c r="S61" s="1925"/>
      <c r="T61" s="1924">
        <f>'C ▪ Ergebnisjustierung'!Q145</f>
        <v>0</v>
      </c>
      <c r="U61" s="1925"/>
      <c r="V61" s="1924">
        <f>'C ▪ Ergebnisjustierung'!S145</f>
        <v>0</v>
      </c>
      <c r="W61" s="1926"/>
    </row>
    <row r="62" spans="1:24" ht="18" customHeight="1" thickBot="1">
      <c r="A62" s="2"/>
      <c r="B62" s="185" t="s">
        <v>235</v>
      </c>
      <c r="C62" s="90"/>
      <c r="D62" s="90"/>
      <c r="E62" s="91"/>
      <c r="F62" s="1891">
        <f>IF(H61&lt;F61,1,0)</f>
        <v>0</v>
      </c>
      <c r="G62" s="1892"/>
      <c r="H62" s="1892"/>
      <c r="I62" s="1893"/>
      <c r="J62" s="1891">
        <f>IF(SUM(J61:M61)&gt;100,1,0)</f>
        <v>0</v>
      </c>
      <c r="K62" s="1892"/>
      <c r="L62" s="1892"/>
      <c r="M62" s="1894"/>
      <c r="N62" s="185" t="s">
        <v>223</v>
      </c>
      <c r="O62" s="91"/>
      <c r="P62" s="1891">
        <f>IF(AND(VA_BESTANDSEINGABE=2,VA_ZUSAMMEN=0,R61&lt;P61),1,0)</f>
        <v>0</v>
      </c>
      <c r="Q62" s="1892"/>
      <c r="R62" s="1892"/>
      <c r="S62" s="1893"/>
      <c r="T62" s="1891">
        <f>IF(AND(VA_BESTANDSEINGABE=2,VA_ZUSAMMEN=0,SUM(T61:W61)&gt;100),1,0)</f>
        <v>0</v>
      </c>
      <c r="U62" s="1892"/>
      <c r="V62" s="1892"/>
      <c r="W62" s="1894"/>
    </row>
    <row r="63" spans="1:24" ht="18" customHeight="1" thickBot="1">
      <c r="A63" s="2"/>
      <c r="B63" s="497"/>
      <c r="C63" s="497"/>
      <c r="D63" s="497"/>
      <c r="E63" s="497"/>
      <c r="F63" s="497"/>
      <c r="G63" s="497"/>
      <c r="P63" s="497"/>
      <c r="Q63" s="497"/>
    </row>
    <row r="64" spans="1:24" ht="18" customHeight="1" thickBot="1">
      <c r="A64" s="2"/>
      <c r="B64" s="1899" t="s">
        <v>721</v>
      </c>
      <c r="C64" s="1900"/>
      <c r="D64" s="1900"/>
      <c r="E64" s="1901"/>
      <c r="F64" s="881" t="s">
        <v>231</v>
      </c>
      <c r="G64" s="878">
        <f>'C ▪ Ergebnisjustierung'!G142</f>
        <v>0</v>
      </c>
      <c r="H64" s="879" t="s">
        <v>722</v>
      </c>
      <c r="I64" s="882">
        <f>IF('C ▪ Ergebnisjustierung'!I147="",1,'C ▪ Ergebnisjustierung'!I147)</f>
        <v>1</v>
      </c>
      <c r="J64" s="879" t="s">
        <v>725</v>
      </c>
      <c r="K64" s="878">
        <f>ROUNDUP('C ▪ Ergebnisjustierung'!I142*I64,0)</f>
        <v>0</v>
      </c>
      <c r="L64" s="879" t="s">
        <v>104</v>
      </c>
      <c r="M64" s="880">
        <f>G64+K64</f>
        <v>0</v>
      </c>
      <c r="N64" s="877"/>
      <c r="O64" s="878"/>
      <c r="P64" s="881" t="s">
        <v>231</v>
      </c>
      <c r="Q64" s="878">
        <f>'C ▪ Ergebnisjustierung'!Q142</f>
        <v>0</v>
      </c>
      <c r="R64" s="879" t="s">
        <v>722</v>
      </c>
      <c r="S64" s="882">
        <f>IF('C ▪ Ergebnisjustierung'!S147="",1,'C ▪ Ergebnisjustierung'!S147)</f>
        <v>1</v>
      </c>
      <c r="T64" s="879" t="s">
        <v>725</v>
      </c>
      <c r="U64" s="878">
        <f>ROUNDUP('C ▪ Ergebnisjustierung'!S142*S64,0)</f>
        <v>0</v>
      </c>
      <c r="V64" s="879" t="s">
        <v>104</v>
      </c>
      <c r="W64" s="880">
        <f>Q64+U64</f>
        <v>0</v>
      </c>
    </row>
    <row r="65" spans="1:24" ht="18" customHeight="1" thickBot="1">
      <c r="A65" s="2"/>
      <c r="B65" s="167"/>
      <c r="C65" s="167"/>
      <c r="D65" s="167"/>
      <c r="E65" s="167"/>
      <c r="F65" s="167"/>
      <c r="G65" s="167"/>
    </row>
    <row r="66" spans="1:24" ht="18" customHeight="1">
      <c r="A66" s="2"/>
      <c r="B66" s="1895" t="s">
        <v>450</v>
      </c>
      <c r="C66" s="1896"/>
      <c r="D66" s="1896"/>
      <c r="E66" s="1896"/>
      <c r="F66" s="1896"/>
      <c r="G66" s="1897"/>
      <c r="H66" s="1888" t="s">
        <v>230</v>
      </c>
      <c r="I66" s="1890"/>
      <c r="J66" s="1888" t="s">
        <v>231</v>
      </c>
      <c r="K66" s="1890"/>
      <c r="L66" s="1888" t="s">
        <v>232</v>
      </c>
      <c r="M66" s="1889"/>
      <c r="N66" s="181"/>
      <c r="O66" s="909" t="s">
        <v>809</v>
      </c>
      <c r="P66" s="909">
        <v>500</v>
      </c>
      <c r="Q66" s="183"/>
      <c r="R66" s="1898" t="s">
        <v>230</v>
      </c>
      <c r="S66" s="1890"/>
      <c r="T66" s="1888" t="s">
        <v>231</v>
      </c>
      <c r="U66" s="1890"/>
      <c r="V66" s="1888" t="s">
        <v>232</v>
      </c>
      <c r="W66" s="1889"/>
    </row>
    <row r="67" spans="1:24" ht="18" customHeight="1">
      <c r="A67" s="2"/>
      <c r="B67" s="1949" t="s">
        <v>233</v>
      </c>
      <c r="C67" s="1950"/>
      <c r="D67" s="1950"/>
      <c r="E67" s="1950"/>
      <c r="F67" s="1950"/>
      <c r="G67" s="1951"/>
      <c r="H67" s="190">
        <f>'C ▪ Ergebnisjustierung'!H156</f>
        <v>0</v>
      </c>
      <c r="I67" s="192">
        <f>'C ▪ Ergebnisjustierung'!H157</f>
        <v>0</v>
      </c>
      <c r="J67" s="190">
        <f>'C ▪ Ergebnisjustierung'!I156</f>
        <v>0</v>
      </c>
      <c r="K67" s="192">
        <f>'C ▪ Ergebnisjustierung'!I157</f>
        <v>0</v>
      </c>
      <c r="L67" s="190">
        <f>'C ▪ Ergebnisjustierung'!J156</f>
        <v>0</v>
      </c>
      <c r="M67" s="191">
        <f>'C ▪ Ergebnisjustierung'!J157</f>
        <v>0</v>
      </c>
      <c r="N67" s="87"/>
      <c r="O67" s="3"/>
      <c r="P67" s="3"/>
      <c r="Q67" s="48"/>
      <c r="R67" s="190">
        <f>'C ▪ Ergebnisjustierung'!R156</f>
        <v>0</v>
      </c>
      <c r="S67" s="192">
        <f>'C ▪ Ergebnisjustierung'!R157</f>
        <v>0</v>
      </c>
      <c r="T67" s="190">
        <f>'C ▪ Ergebnisjustierung'!S156</f>
        <v>0</v>
      </c>
      <c r="U67" s="192">
        <f>'C ▪ Ergebnisjustierung'!S157</f>
        <v>0</v>
      </c>
      <c r="V67" s="190">
        <f>'C ▪ Ergebnisjustierung'!T156</f>
        <v>0</v>
      </c>
      <c r="W67" s="191">
        <f>'C ▪ Ergebnisjustierung'!T157</f>
        <v>0</v>
      </c>
      <c r="X67" s="184"/>
    </row>
    <row r="68" spans="1:24" ht="18" customHeight="1" thickBot="1">
      <c r="A68" s="2"/>
      <c r="B68" s="1952" t="s">
        <v>234</v>
      </c>
      <c r="C68" s="1953"/>
      <c r="D68" s="1953"/>
      <c r="E68" s="1953"/>
      <c r="F68" s="1953"/>
      <c r="G68" s="1954"/>
      <c r="H68" s="186">
        <f>IF(I67&gt;H67,1,0)</f>
        <v>0</v>
      </c>
      <c r="I68" s="193">
        <f>IF(I67&lt;H67,1,0)</f>
        <v>0</v>
      </c>
      <c r="J68" s="186">
        <f>IF(K67&gt;J67,1,0)</f>
        <v>0</v>
      </c>
      <c r="K68" s="193">
        <f>IF(K67&lt;J67,1,0)</f>
        <v>0</v>
      </c>
      <c r="L68" s="186">
        <f>IF(M67&gt;L67,1,0)</f>
        <v>0</v>
      </c>
      <c r="M68" s="193">
        <f>IF(M67&lt;L67,1,0)</f>
        <v>0</v>
      </c>
      <c r="N68" s="185" t="s">
        <v>234</v>
      </c>
      <c r="O68" s="90"/>
      <c r="P68" s="187"/>
      <c r="Q68" s="188"/>
      <c r="R68" s="186">
        <f>IF(AND(VA_BESTANDSEINGABE=2,VA_ZUSAMMEN=0,S67&gt;R67),1,0)</f>
        <v>0</v>
      </c>
      <c r="S68" s="193">
        <f>IF(AND(VA_BESTANDSEINGABE=2,VA_ZUSAMMEN=0,S67&lt;R67),1,0)</f>
        <v>0</v>
      </c>
      <c r="T68" s="186">
        <f>IF(AND(VA_BESTANDSEINGABE=2,VA_ZUSAMMEN=0,U67&gt;T67),1,0)</f>
        <v>0</v>
      </c>
      <c r="U68" s="193">
        <f>IF(AND(VA_BESTANDSEINGABE=2,VA_ZUSAMMEN=0,U67&lt;T67),1,0)</f>
        <v>0</v>
      </c>
      <c r="V68" s="186">
        <f>IF(AND(VA_BESTANDSEINGABE=2,VA_ZUSAMMEN=0,W67&gt;V67),1,0)</f>
        <v>0</v>
      </c>
      <c r="W68" s="194">
        <f>IF(AND(VA_BESTANDSEINGABE=2,VA_ZUSAMMEN=0,W67&lt;V67),1,0)</f>
        <v>0</v>
      </c>
    </row>
    <row r="69" spans="1:24" ht="18" customHeight="1" thickBot="1">
      <c r="A69" s="2"/>
    </row>
    <row r="70" spans="1:24" ht="18" customHeight="1">
      <c r="A70" s="2"/>
      <c r="B70" s="1865" t="s">
        <v>451</v>
      </c>
      <c r="C70" s="1866"/>
      <c r="D70" s="1866"/>
      <c r="E70" s="1866"/>
      <c r="F70" s="1866"/>
      <c r="G70" s="1866"/>
      <c r="H70" s="1888" t="s">
        <v>230</v>
      </c>
      <c r="I70" s="1890"/>
      <c r="J70" s="1888" t="s">
        <v>231</v>
      </c>
      <c r="K70" s="1890"/>
      <c r="L70" s="1888" t="s">
        <v>232</v>
      </c>
      <c r="M70" s="1889"/>
      <c r="N70" s="849" t="s">
        <v>729</v>
      </c>
      <c r="O70" s="850" t="s">
        <v>724</v>
      </c>
      <c r="P70" s="849" t="s">
        <v>729</v>
      </c>
      <c r="Q70" s="851" t="s">
        <v>724</v>
      </c>
      <c r="R70" s="1888" t="s">
        <v>230</v>
      </c>
      <c r="S70" s="1890"/>
      <c r="T70" s="1888" t="s">
        <v>231</v>
      </c>
      <c r="U70" s="1890"/>
      <c r="V70" s="1888" t="s">
        <v>232</v>
      </c>
      <c r="W70" s="1889"/>
    </row>
    <row r="71" spans="1:24" ht="18" customHeight="1">
      <c r="A71" s="2"/>
      <c r="B71" s="87" t="s">
        <v>5</v>
      </c>
      <c r="C71" s="3"/>
      <c r="D71" s="1856" t="s">
        <v>152</v>
      </c>
      <c r="E71" s="1856"/>
      <c r="F71" s="1856"/>
      <c r="G71" s="1857"/>
      <c r="H71" s="1867">
        <f>'C ▪ Ergebnisjustierung'!H159</f>
        <v>0</v>
      </c>
      <c r="I71" s="1959"/>
      <c r="J71" s="1867">
        <f>'C ▪ Ergebnisjustierung'!I159</f>
        <v>0</v>
      </c>
      <c r="K71" s="1959"/>
      <c r="L71" s="1867">
        <f>'C ▪ Ergebnisjustierung'!J159</f>
        <v>0</v>
      </c>
      <c r="M71" s="1869"/>
      <c r="N71" s="616">
        <f>H71+L71</f>
        <v>0</v>
      </c>
      <c r="O71" s="135">
        <f>J71</f>
        <v>0</v>
      </c>
      <c r="P71" s="616">
        <f>R71+V71</f>
        <v>0</v>
      </c>
      <c r="Q71" s="134">
        <f>T71</f>
        <v>0</v>
      </c>
      <c r="R71" s="1867">
        <f>'C ▪ Ergebnisjustierung'!R159</f>
        <v>0</v>
      </c>
      <c r="S71" s="1959"/>
      <c r="T71" s="1867">
        <f>'C ▪ Ergebnisjustierung'!S159</f>
        <v>0</v>
      </c>
      <c r="U71" s="1959"/>
      <c r="V71" s="1867">
        <f>'C ▪ Ergebnisjustierung'!T159</f>
        <v>0</v>
      </c>
      <c r="W71" s="1869"/>
    </row>
    <row r="72" spans="1:24" ht="18" customHeight="1">
      <c r="A72" s="2"/>
      <c r="B72" s="87" t="s">
        <v>296</v>
      </c>
      <c r="C72" s="3"/>
      <c r="D72" s="1856"/>
      <c r="E72" s="1856"/>
      <c r="F72" s="1856"/>
      <c r="G72" s="1857"/>
      <c r="H72" s="1870">
        <f>'C ▪ Ergebnisjustierung'!H160</f>
        <v>0</v>
      </c>
      <c r="I72" s="1880"/>
      <c r="J72" s="1870">
        <f>'C ▪ Ergebnisjustierung'!I160</f>
        <v>0</v>
      </c>
      <c r="K72" s="1880"/>
      <c r="L72" s="1870">
        <f>'C ▪ Ergebnisjustierung'!J160</f>
        <v>0</v>
      </c>
      <c r="M72" s="1872"/>
      <c r="N72" s="616">
        <f>H72+L72</f>
        <v>0</v>
      </c>
      <c r="O72" s="135">
        <f>J72</f>
        <v>0</v>
      </c>
      <c r="P72" s="616">
        <f>R72+V72</f>
        <v>0</v>
      </c>
      <c r="Q72" s="134">
        <f>T72</f>
        <v>0</v>
      </c>
      <c r="R72" s="1870">
        <f>'C ▪ Ergebnisjustierung'!R160</f>
        <v>0</v>
      </c>
      <c r="S72" s="1880"/>
      <c r="T72" s="1870">
        <f>'C ▪ Ergebnisjustierung'!S160</f>
        <v>0</v>
      </c>
      <c r="U72" s="1880"/>
      <c r="V72" s="1870">
        <f>'C ▪ Ergebnisjustierung'!T160</f>
        <v>0</v>
      </c>
      <c r="W72" s="1872"/>
    </row>
    <row r="73" spans="1:24" ht="18" customHeight="1">
      <c r="A73" s="2"/>
      <c r="B73" s="87" t="s">
        <v>120</v>
      </c>
      <c r="C73" s="3"/>
      <c r="D73" s="1856"/>
      <c r="E73" s="1856"/>
      <c r="F73" s="1856"/>
      <c r="G73" s="1857"/>
      <c r="H73" s="1873">
        <f>'C ▪ Ergebnisjustierung'!H161</f>
        <v>0</v>
      </c>
      <c r="I73" s="1879"/>
      <c r="J73" s="1873">
        <f>'C ▪ Ergebnisjustierung'!I161</f>
        <v>0</v>
      </c>
      <c r="K73" s="1879"/>
      <c r="L73" s="1873">
        <f>'C ▪ Ergebnisjustierung'!J161</f>
        <v>0</v>
      </c>
      <c r="M73" s="1875"/>
      <c r="N73" s="616">
        <f>H73+L73</f>
        <v>0</v>
      </c>
      <c r="O73" s="135">
        <f>J73</f>
        <v>0</v>
      </c>
      <c r="P73" s="616">
        <f>R73+V73</f>
        <v>0</v>
      </c>
      <c r="Q73" s="134">
        <f>T73</f>
        <v>0</v>
      </c>
      <c r="R73" s="1873">
        <f>'C ▪ Ergebnisjustierung'!R161</f>
        <v>0</v>
      </c>
      <c r="S73" s="1879"/>
      <c r="T73" s="1873">
        <f>'C ▪ Ergebnisjustierung'!S161</f>
        <v>0</v>
      </c>
      <c r="U73" s="1879"/>
      <c r="V73" s="1873">
        <f>'C ▪ Ergebnisjustierung'!T161</f>
        <v>0</v>
      </c>
      <c r="W73" s="1875"/>
    </row>
    <row r="74" spans="1:24" ht="18" customHeight="1">
      <c r="A74" s="2"/>
      <c r="B74" s="483" t="s">
        <v>705</v>
      </c>
      <c r="C74" s="482"/>
      <c r="D74" s="1858"/>
      <c r="E74" s="1858"/>
      <c r="F74" s="1858"/>
      <c r="G74" s="1859"/>
      <c r="H74" s="1862">
        <f>'C ▪ Ergebnisjustierung'!H162</f>
        <v>0</v>
      </c>
      <c r="I74" s="1863"/>
      <c r="J74" s="1862">
        <f>'C ▪ Ergebnisjustierung'!I162</f>
        <v>0</v>
      </c>
      <c r="K74" s="1863"/>
      <c r="L74" s="1862">
        <f>'C ▪ Ergebnisjustierung'!J162</f>
        <v>0</v>
      </c>
      <c r="M74" s="1864"/>
      <c r="N74" s="616">
        <f>H74+L74</f>
        <v>0</v>
      </c>
      <c r="O74" s="135">
        <f>J74</f>
        <v>0</v>
      </c>
      <c r="P74" s="616">
        <f>R74+V74</f>
        <v>0</v>
      </c>
      <c r="Q74" s="134">
        <f>T74</f>
        <v>0</v>
      </c>
      <c r="R74" s="1862">
        <f>'C ▪ Ergebnisjustierung'!R162</f>
        <v>0</v>
      </c>
      <c r="S74" s="1863"/>
      <c r="T74" s="1862">
        <f>'C ▪ Ergebnisjustierung'!S162</f>
        <v>0</v>
      </c>
      <c r="U74" s="1863"/>
      <c r="V74" s="1862">
        <f>'C ▪ Ergebnisjustierung'!T162</f>
        <v>0</v>
      </c>
      <c r="W74" s="1864"/>
    </row>
    <row r="75" spans="1:24" ht="18" customHeight="1">
      <c r="A75" s="2"/>
      <c r="B75" s="485" t="s">
        <v>228</v>
      </c>
      <c r="C75" s="484"/>
      <c r="D75" s="484"/>
      <c r="E75" s="484"/>
      <c r="F75" s="484"/>
      <c r="G75" s="484"/>
      <c r="H75" s="1881"/>
      <c r="I75" s="1883"/>
      <c r="J75" s="1884">
        <f>'C ▪ Ergebnisjustierung'!I163</f>
        <v>0</v>
      </c>
      <c r="K75" s="1885"/>
      <c r="L75" s="1881"/>
      <c r="M75" s="1882"/>
      <c r="N75" s="617"/>
      <c r="O75" s="579">
        <f>J75</f>
        <v>0</v>
      </c>
      <c r="P75" s="617"/>
      <c r="Q75" s="54">
        <f>T75</f>
        <v>0</v>
      </c>
      <c r="R75" s="1994"/>
      <c r="S75" s="1995"/>
      <c r="T75" s="1884">
        <f>'C ▪ Ergebnisjustierung'!S163</f>
        <v>0</v>
      </c>
      <c r="U75" s="1885"/>
      <c r="V75" s="1881"/>
      <c r="W75" s="1882"/>
    </row>
    <row r="76" spans="1:24" ht="18" customHeight="1">
      <c r="A76" s="2"/>
      <c r="B76" s="87" t="s">
        <v>5</v>
      </c>
      <c r="C76" s="3"/>
      <c r="D76" s="1860" t="s">
        <v>151</v>
      </c>
      <c r="E76" s="1860"/>
      <c r="F76" s="1860"/>
      <c r="G76" s="1861"/>
      <c r="H76" s="1996">
        <f>'C ▪ Ergebnisjustierung'!H164</f>
        <v>0</v>
      </c>
      <c r="I76" s="1997"/>
      <c r="J76" s="1994"/>
      <c r="K76" s="1995"/>
      <c r="L76" s="1994"/>
      <c r="M76" s="1998"/>
      <c r="N76" s="616">
        <f>H76</f>
        <v>0</v>
      </c>
      <c r="O76" s="135" t="s">
        <v>726</v>
      </c>
      <c r="P76" s="616">
        <f>R76</f>
        <v>0</v>
      </c>
      <c r="Q76" s="134" t="s">
        <v>726</v>
      </c>
      <c r="R76" s="1867">
        <f>'C ▪ Ergebnisjustierung'!R164</f>
        <v>0</v>
      </c>
      <c r="S76" s="1959"/>
      <c r="T76" s="1881"/>
      <c r="U76" s="1883"/>
      <c r="V76" s="1881"/>
      <c r="W76" s="1882"/>
    </row>
    <row r="77" spans="1:24" ht="18" customHeight="1">
      <c r="A77" s="2"/>
      <c r="B77" s="87" t="s">
        <v>296</v>
      </c>
      <c r="C77" s="3"/>
      <c r="D77" s="1856"/>
      <c r="E77" s="1856"/>
      <c r="F77" s="1856"/>
      <c r="G77" s="1857"/>
      <c r="H77" s="1870">
        <f>'C ▪ Ergebnisjustierung'!H165</f>
        <v>0</v>
      </c>
      <c r="I77" s="1880"/>
      <c r="J77" s="1881"/>
      <c r="K77" s="1883"/>
      <c r="L77" s="1881"/>
      <c r="M77" s="1882"/>
      <c r="N77" s="616">
        <f>H77</f>
        <v>0</v>
      </c>
      <c r="O77" s="1965">
        <f>K64</f>
        <v>0</v>
      </c>
      <c r="P77" s="616">
        <f>R77</f>
        <v>0</v>
      </c>
      <c r="Q77" s="1967">
        <f>U64</f>
        <v>0</v>
      </c>
      <c r="R77" s="1870">
        <f>'C ▪ Ergebnisjustierung'!R165</f>
        <v>0</v>
      </c>
      <c r="S77" s="1880"/>
      <c r="T77" s="1881"/>
      <c r="U77" s="1883"/>
      <c r="V77" s="1881"/>
      <c r="W77" s="1882"/>
    </row>
    <row r="78" spans="1:24" ht="18" customHeight="1">
      <c r="A78" s="2"/>
      <c r="B78" s="87" t="s">
        <v>120</v>
      </c>
      <c r="C78" s="3"/>
      <c r="D78" s="1856"/>
      <c r="E78" s="1856"/>
      <c r="F78" s="1856"/>
      <c r="G78" s="1857"/>
      <c r="H78" s="1873">
        <f>'C ▪ Ergebnisjustierung'!H166</f>
        <v>0</v>
      </c>
      <c r="I78" s="1879"/>
      <c r="J78" s="1881"/>
      <c r="K78" s="1883"/>
      <c r="L78" s="1881"/>
      <c r="M78" s="1882"/>
      <c r="N78" s="616">
        <f>H78</f>
        <v>0</v>
      </c>
      <c r="O78" s="1965"/>
      <c r="P78" s="616">
        <f>R78</f>
        <v>0</v>
      </c>
      <c r="Q78" s="1967"/>
      <c r="R78" s="1873">
        <f>'C ▪ Ergebnisjustierung'!R166</f>
        <v>0</v>
      </c>
      <c r="S78" s="1879"/>
      <c r="T78" s="1881"/>
      <c r="U78" s="1883"/>
      <c r="V78" s="1881"/>
      <c r="W78" s="1882"/>
    </row>
    <row r="79" spans="1:24" ht="18" customHeight="1">
      <c r="A79" s="2"/>
      <c r="B79" s="483" t="s">
        <v>705</v>
      </c>
      <c r="C79" s="482"/>
      <c r="D79" s="1858"/>
      <c r="E79" s="1858"/>
      <c r="F79" s="1858"/>
      <c r="G79" s="1859"/>
      <c r="H79" s="1862">
        <f>'C ▪ Ergebnisjustierung'!H167</f>
        <v>0</v>
      </c>
      <c r="I79" s="1863"/>
      <c r="J79" s="846"/>
      <c r="K79" s="847"/>
      <c r="L79" s="846"/>
      <c r="M79" s="848"/>
      <c r="N79" s="616">
        <f>H79</f>
        <v>0</v>
      </c>
      <c r="O79" s="1966"/>
      <c r="P79" s="616">
        <f>R79</f>
        <v>0</v>
      </c>
      <c r="Q79" s="1968"/>
      <c r="R79" s="1862">
        <f>'C ▪ Ergebnisjustierung'!R167</f>
        <v>0</v>
      </c>
      <c r="S79" s="1863"/>
      <c r="T79" s="846"/>
      <c r="U79" s="847"/>
      <c r="V79" s="846"/>
      <c r="W79" s="848"/>
    </row>
    <row r="80" spans="1:24" ht="18" customHeight="1" thickBot="1">
      <c r="A80" s="2"/>
      <c r="B80" s="89" t="s">
        <v>292</v>
      </c>
      <c r="C80" s="90"/>
      <c r="D80" s="90"/>
      <c r="E80" s="90"/>
      <c r="F80" s="90"/>
      <c r="G80" s="90"/>
      <c r="H80" s="1960">
        <f>'C ▪ Ergebnisjustierung'!H168</f>
        <v>0</v>
      </c>
      <c r="I80" s="1961"/>
      <c r="J80" s="1962"/>
      <c r="K80" s="1963"/>
      <c r="L80" s="1962"/>
      <c r="M80" s="1964"/>
      <c r="N80" s="886">
        <f>SUM(N71:N79)-O77</f>
        <v>0</v>
      </c>
      <c r="O80" s="884">
        <f>SUM(O71:O75)+O77</f>
        <v>0</v>
      </c>
      <c r="P80" s="886">
        <f>SUM(P71:P79)-Q77</f>
        <v>0</v>
      </c>
      <c r="Q80" s="885">
        <f>SUM(Q71:Q75)+Q77</f>
        <v>0</v>
      </c>
      <c r="R80" s="1960">
        <f>'C ▪ Ergebnisjustierung'!R168</f>
        <v>0</v>
      </c>
      <c r="S80" s="1961"/>
      <c r="T80" s="1962"/>
      <c r="U80" s="1963"/>
      <c r="V80" s="1962"/>
      <c r="W80" s="1964"/>
    </row>
    <row r="81" spans="1:23" ht="18" customHeight="1" thickBot="1">
      <c r="A81" s="2"/>
      <c r="N81" s="200" t="s">
        <v>727</v>
      </c>
      <c r="O81" s="200" t="s">
        <v>728</v>
      </c>
      <c r="P81" s="200" t="s">
        <v>727</v>
      </c>
      <c r="Q81" s="200" t="s">
        <v>728</v>
      </c>
    </row>
    <row r="82" spans="1:23" ht="18" customHeight="1">
      <c r="A82" s="2"/>
      <c r="B82" s="1865" t="s">
        <v>452</v>
      </c>
      <c r="C82" s="1866"/>
      <c r="D82" s="1866"/>
      <c r="E82" s="1866"/>
      <c r="F82" s="1866"/>
      <c r="G82" s="1866"/>
      <c r="H82" s="486"/>
      <c r="I82" s="486"/>
      <c r="J82" s="486"/>
      <c r="K82" s="486"/>
      <c r="L82" s="486"/>
      <c r="M82" s="487"/>
      <c r="N82" s="486"/>
      <c r="O82" s="486"/>
      <c r="P82" s="486"/>
      <c r="Q82" s="486"/>
      <c r="R82" s="486"/>
      <c r="S82" s="486"/>
      <c r="T82" s="486"/>
      <c r="U82" s="486"/>
      <c r="V82" s="486"/>
      <c r="W82" s="487"/>
    </row>
    <row r="83" spans="1:23" ht="18" customHeight="1">
      <c r="A83" s="177"/>
      <c r="B83" s="1975" t="s">
        <v>322</v>
      </c>
      <c r="C83" s="1975"/>
      <c r="D83" s="1975"/>
      <c r="E83" s="1975"/>
      <c r="F83" s="1975"/>
      <c r="G83" s="1975"/>
      <c r="H83" s="1975"/>
      <c r="I83" s="1975"/>
      <c r="J83" s="1975"/>
      <c r="K83" s="1867">
        <f>H71+J71+L71+H76</f>
        <v>0</v>
      </c>
      <c r="L83" s="1868"/>
      <c r="M83" s="1869"/>
      <c r="N83" s="3"/>
      <c r="O83" s="3"/>
      <c r="P83" s="3"/>
      <c r="Q83" s="3"/>
      <c r="R83" s="3"/>
      <c r="S83" s="3"/>
      <c r="T83" s="3"/>
      <c r="U83" s="1867">
        <f>R71+T71+V71+R76</f>
        <v>0</v>
      </c>
      <c r="V83" s="1868"/>
      <c r="W83" s="1869"/>
    </row>
    <row r="84" spans="1:23" ht="18" customHeight="1">
      <c r="A84" s="177"/>
      <c r="B84" s="1975" t="s">
        <v>324</v>
      </c>
      <c r="C84" s="1975"/>
      <c r="D84" s="1975"/>
      <c r="E84" s="1975"/>
      <c r="F84" s="1975"/>
      <c r="G84" s="1975"/>
      <c r="H84" s="1975"/>
      <c r="I84" s="1975"/>
      <c r="J84" s="1975"/>
      <c r="K84" s="1870">
        <f>H72+J72+L72+H77</f>
        <v>0</v>
      </c>
      <c r="L84" s="1871"/>
      <c r="M84" s="1872"/>
      <c r="N84" s="3"/>
      <c r="O84" s="3"/>
      <c r="P84" s="3"/>
      <c r="Q84" s="3"/>
      <c r="R84" s="3"/>
      <c r="S84" s="3"/>
      <c r="T84" s="3"/>
      <c r="U84" s="1870">
        <f>R72+T72+V72+R77</f>
        <v>0</v>
      </c>
      <c r="V84" s="1871"/>
      <c r="W84" s="1872"/>
    </row>
    <row r="85" spans="1:23" ht="18" customHeight="1">
      <c r="A85" s="177"/>
      <c r="B85" s="1975" t="s">
        <v>325</v>
      </c>
      <c r="C85" s="1975"/>
      <c r="D85" s="1975"/>
      <c r="E85" s="1975"/>
      <c r="F85" s="1975"/>
      <c r="G85" s="1975"/>
      <c r="H85" s="1975"/>
      <c r="I85" s="1975"/>
      <c r="J85" s="1975"/>
      <c r="K85" s="1873">
        <f>H73+J73+L73+H78</f>
        <v>0</v>
      </c>
      <c r="L85" s="1874"/>
      <c r="M85" s="1875"/>
      <c r="N85" s="3"/>
      <c r="O85" s="3"/>
      <c r="P85" s="3"/>
      <c r="Q85" s="3"/>
      <c r="R85" s="3"/>
      <c r="S85" s="3"/>
      <c r="T85" s="3"/>
      <c r="U85" s="1873">
        <f>R73+T73+V73+R78</f>
        <v>0</v>
      </c>
      <c r="V85" s="1874"/>
      <c r="W85" s="1875"/>
    </row>
    <row r="86" spans="1:23" ht="18" customHeight="1">
      <c r="A86" s="177"/>
      <c r="B86" s="840" t="s">
        <v>707</v>
      </c>
      <c r="C86" s="840"/>
      <c r="D86" s="840"/>
      <c r="E86" s="840"/>
      <c r="F86" s="840"/>
      <c r="G86" s="840"/>
      <c r="H86" s="840"/>
      <c r="I86" s="840"/>
      <c r="J86" s="840"/>
      <c r="K86" s="1862">
        <f>H79+H74+J74+L74</f>
        <v>0</v>
      </c>
      <c r="L86" s="1979"/>
      <c r="M86" s="1864"/>
      <c r="N86" s="3"/>
      <c r="O86" s="3"/>
      <c r="P86" s="3"/>
      <c r="Q86" s="3"/>
      <c r="R86" s="3"/>
      <c r="S86" s="3"/>
      <c r="T86" s="3"/>
      <c r="U86" s="1862">
        <f>R79+R74+T74+V74</f>
        <v>0</v>
      </c>
      <c r="V86" s="1979"/>
      <c r="W86" s="1864"/>
    </row>
    <row r="87" spans="1:23" ht="18" customHeight="1" thickBot="1">
      <c r="A87" s="177"/>
      <c r="B87" s="1976" t="s">
        <v>228</v>
      </c>
      <c r="C87" s="1977"/>
      <c r="D87" s="1977"/>
      <c r="E87" s="1977"/>
      <c r="F87" s="1977"/>
      <c r="G87" s="1977"/>
      <c r="H87" s="1977"/>
      <c r="I87" s="1977"/>
      <c r="J87" s="1978"/>
      <c r="K87" s="1876">
        <f>J75</f>
        <v>0</v>
      </c>
      <c r="L87" s="1876"/>
      <c r="M87" s="1877"/>
      <c r="N87" s="90"/>
      <c r="O87" s="90"/>
      <c r="P87" s="90"/>
      <c r="Q87" s="90"/>
      <c r="R87" s="90"/>
      <c r="S87" s="90"/>
      <c r="T87" s="90"/>
      <c r="U87" s="1972">
        <f>T75</f>
        <v>0</v>
      </c>
      <c r="V87" s="1973"/>
      <c r="W87" s="1974"/>
    </row>
    <row r="88" spans="1:23" ht="18" customHeight="1">
      <c r="A88" s="2"/>
    </row>
    <row r="89" spans="1:23" ht="18" customHeight="1">
      <c r="A89" s="2"/>
    </row>
    <row r="90" spans="1:23" s="4" customFormat="1" ht="18" customHeight="1">
      <c r="A90" s="8"/>
      <c r="B90" s="66" t="s">
        <v>122</v>
      </c>
    </row>
    <row r="92" spans="1:23" ht="18" customHeight="1">
      <c r="B92" s="12" t="s">
        <v>50</v>
      </c>
    </row>
    <row r="93" spans="1:23" ht="18" customHeight="1">
      <c r="B93" s="6" t="str">
        <f>IF(
OR(VE_VERKEHRSSTATION="",VE_VERKEHRSSTATION=B94),"",
TRIM(VE_VERKEHRSSTATION))</f>
        <v/>
      </c>
    </row>
    <row r="94" spans="1:23" ht="18" customHeight="1">
      <c r="B94" s="77" t="s">
        <v>141</v>
      </c>
    </row>
    <row r="95" spans="1:23" ht="18" customHeight="1">
      <c r="B95" s="12" t="s">
        <v>51</v>
      </c>
    </row>
    <row r="96" spans="1:23" ht="18" customHeight="1">
      <c r="B96" s="6" t="str">
        <f>IF(
OR(VE_ZUGANG_1="",LEFT(VE_ZUGANG_1,10)=LEFT(B97,10)),"",
TRIM(VE_ZUGANG_1))</f>
        <v/>
      </c>
    </row>
    <row r="97" spans="1:22" ht="18" customHeight="1">
      <c r="B97" s="77" t="s">
        <v>277</v>
      </c>
    </row>
    <row r="98" spans="1:22" ht="18" customHeight="1">
      <c r="B98" s="12" t="s">
        <v>52</v>
      </c>
    </row>
    <row r="99" spans="1:22" ht="18" customHeight="1">
      <c r="B99" s="6" t="str">
        <f>IF(
OR(VE_ZUGANG_2="",LEFT(VE_ZUGANG_2,10)=LEFT(B100,10)),"",
TRIM(VE_ZUGANG_2))</f>
        <v/>
      </c>
    </row>
    <row r="100" spans="1:22" ht="18" customHeight="1">
      <c r="B100" s="77" t="s">
        <v>277</v>
      </c>
    </row>
    <row r="103" spans="1:22" ht="18" customHeight="1">
      <c r="B103" s="83" t="s">
        <v>12</v>
      </c>
      <c r="C103" s="82"/>
      <c r="D103" s="82"/>
      <c r="E103" s="82"/>
      <c r="F103" s="82"/>
      <c r="G103" s="82"/>
      <c r="H103" s="82"/>
      <c r="I103" s="82"/>
      <c r="J103" s="82"/>
      <c r="K103" s="82"/>
      <c r="L103" s="82"/>
      <c r="M103" s="82"/>
      <c r="N103" s="82"/>
      <c r="O103" s="82"/>
      <c r="P103" s="82"/>
      <c r="Q103" s="82"/>
      <c r="R103" s="82"/>
      <c r="S103" s="82"/>
      <c r="T103" s="82"/>
      <c r="U103" s="82"/>
      <c r="V103" s="82"/>
    </row>
    <row r="105" spans="1:22" ht="18" customHeight="1">
      <c r="B105" s="12" t="s">
        <v>75</v>
      </c>
      <c r="D105" s="12" t="s">
        <v>76</v>
      </c>
      <c r="F105" s="12" t="s">
        <v>181</v>
      </c>
      <c r="H105" s="12" t="s">
        <v>182</v>
      </c>
      <c r="J105" s="12" t="s">
        <v>183</v>
      </c>
      <c r="L105" s="12" t="s">
        <v>77</v>
      </c>
      <c r="N105" s="12" t="s">
        <v>78</v>
      </c>
      <c r="P105" s="12" t="s">
        <v>79</v>
      </c>
      <c r="R105" s="12" t="s">
        <v>80</v>
      </c>
      <c r="T105" s="12" t="s">
        <v>81</v>
      </c>
      <c r="V105" s="12" t="s">
        <v>86</v>
      </c>
    </row>
    <row r="106" spans="1:22" ht="18" customHeight="1">
      <c r="B106" s="13" t="str">
        <f>IF(VP_0_EAHEUTE=0,"",VP_0_EAHEUTE)</f>
        <v/>
      </c>
      <c r="C106" s="11"/>
      <c r="D106" s="13" t="str">
        <f>IF(VP_1_DBEA2040="","",VP_1_DBEA2040)</f>
        <v/>
      </c>
      <c r="E106" s="11"/>
      <c r="F106" s="13" t="str">
        <f>IF(VP_2_RVJAHR="","",VP_2_RVJAHR)</f>
        <v/>
      </c>
      <c r="G106" s="3"/>
      <c r="H106" s="13" t="str">
        <f>IF(VP_2_RVEA="","",VP_2_RVEA)</f>
        <v/>
      </c>
      <c r="I106" s="3"/>
      <c r="J106" s="13" t="str">
        <f>IF(VP_2_RVTF="","",VP_2_RVTF)</f>
        <v/>
      </c>
      <c r="K106" s="11"/>
      <c r="L106" s="13" t="str">
        <f>IF(VP_3_BVHEUTE="","",VP_3_BVHEUTE)</f>
        <v/>
      </c>
      <c r="M106" s="3"/>
      <c r="N106" s="13" t="str">
        <f>IF(VP_3_BVJAHR="","",VP_3_BVJAHR)</f>
        <v/>
      </c>
      <c r="O106" s="3"/>
      <c r="P106" s="13" t="str">
        <f>IF(VP_3_BVZUKUNFT="","",VP_3_BVZUKUNFT)</f>
        <v/>
      </c>
      <c r="Q106" s="3"/>
      <c r="R106" s="13" t="str">
        <f>IF(VP_3_BVTF="","",VP_3_BVTF)</f>
        <v/>
      </c>
      <c r="S106" s="3"/>
      <c r="T106" s="13">
        <f>VP_3_UVB</f>
        <v>1</v>
      </c>
      <c r="U106" s="11"/>
      <c r="V106" s="13" t="str">
        <f>IF(VP_4_METF="","",VP_4_METF)</f>
        <v/>
      </c>
    </row>
    <row r="107" spans="1:22" ht="18" customHeight="1">
      <c r="A107" s="149" t="s">
        <v>90</v>
      </c>
      <c r="B107" s="150">
        <f>IF(AND(VA_TFAUSWAHL&lt;3,VA_TFAUSWAHL&gt;0,B106=""),1,0)</f>
        <v>0</v>
      </c>
      <c r="C107" s="153"/>
      <c r="D107" s="150">
        <f>IF(D106="",1,0)</f>
        <v>1</v>
      </c>
      <c r="E107" s="153"/>
      <c r="F107" s="150">
        <f>IF(F106="",1,0)</f>
        <v>1</v>
      </c>
      <c r="G107" s="154"/>
      <c r="H107" s="150">
        <f>IF(OR(AND(H106&lt;&gt;"",J106=""),AND(H106="",J106&lt;&gt;"")),0,1)</f>
        <v>1</v>
      </c>
      <c r="I107" s="154"/>
      <c r="J107" s="150" t="s">
        <v>66</v>
      </c>
      <c r="K107" s="153"/>
      <c r="L107" s="150">
        <f>IF(L106="",1,0)</f>
        <v>1</v>
      </c>
      <c r="M107" s="154"/>
      <c r="N107" s="150">
        <f>IF(N106="",1,0)</f>
        <v>1</v>
      </c>
      <c r="O107" s="154"/>
      <c r="P107" s="150">
        <f>IF(OR(AND(P106&lt;&gt;"",R106=""),AND(P106="",R106&lt;&gt;"")),0,1)</f>
        <v>1</v>
      </c>
      <c r="Q107" s="154"/>
      <c r="R107" s="150" t="s">
        <v>66</v>
      </c>
      <c r="S107" s="154"/>
      <c r="T107" s="149"/>
      <c r="U107" s="153"/>
      <c r="V107" s="150">
        <f>IF(V106="",1,0)</f>
        <v>1</v>
      </c>
    </row>
    <row r="108" spans="1:22" ht="18" customHeight="1">
      <c r="A108" s="147"/>
      <c r="B108" s="147"/>
      <c r="C108" s="148"/>
      <c r="D108" s="147"/>
      <c r="E108" s="148"/>
      <c r="F108" s="147"/>
      <c r="G108" s="148"/>
      <c r="H108" s="147"/>
      <c r="I108" s="148"/>
      <c r="J108" s="147"/>
      <c r="K108" s="148"/>
      <c r="L108" s="147"/>
      <c r="M108" s="148"/>
      <c r="N108" s="147"/>
      <c r="O108" s="148"/>
      <c r="P108" s="147"/>
      <c r="Q108" s="148"/>
      <c r="R108" s="147"/>
      <c r="S108" s="148"/>
      <c r="T108" s="147"/>
      <c r="U108" s="148"/>
      <c r="V108" s="147"/>
    </row>
    <row r="109" spans="1:22" ht="18" customHeight="1">
      <c r="B109" s="12" t="s">
        <v>87</v>
      </c>
      <c r="D109" s="12" t="s">
        <v>88</v>
      </c>
      <c r="F109" s="12" t="s">
        <v>89</v>
      </c>
      <c r="H109" s="12" t="s">
        <v>206</v>
      </c>
    </row>
    <row r="110" spans="1:22" ht="18" customHeight="1">
      <c r="B110" s="13">
        <f>IF(VE_5_DIEBSTAHL="ja",1.15,1)</f>
        <v>1</v>
      </c>
      <c r="D110" s="13">
        <f>IF(VE_5_ENTGELTFREI="ja",1.15,1)</f>
        <v>1</v>
      </c>
      <c r="F110" s="13">
        <f>IF(VE_5_PENDLER="ja",1.15,1)</f>
        <v>1</v>
      </c>
      <c r="H110" s="13">
        <f>IF(AND(VE_5_ERSTMALIGSICHER="ja",VP_5_SICH_BESTAND_VORHANDEN=0),1,0)</f>
        <v>0</v>
      </c>
    </row>
    <row r="113" spans="1:21" ht="18" customHeight="1">
      <c r="B113" s="80" t="s">
        <v>91</v>
      </c>
      <c r="C113" s="79" t="s">
        <v>92</v>
      </c>
      <c r="D113" s="79" t="s">
        <v>93</v>
      </c>
      <c r="E113" s="79" t="s">
        <v>94</v>
      </c>
      <c r="F113" s="79" t="s">
        <v>95</v>
      </c>
    </row>
    <row r="114" spans="1:21" ht="18" customHeight="1">
      <c r="A114" s="13">
        <f>VA_TFAUSWAHL</f>
        <v>0</v>
      </c>
      <c r="B114" s="81" t="str">
        <f>CHOOSE(A114+1,"",C114,D114,E114,F114)</f>
        <v/>
      </c>
      <c r="C114" s="78" t="str">
        <f>IF(
OR(B107=1,D107=1),"F",
IFERROR(ROUND(D106/B106,3),"F"))</f>
        <v>F</v>
      </c>
      <c r="D114" s="78" t="str">
        <f>IF(
OR(B107=1,F107=1,H107=1),"F",IF(
H106="",IFERROR(ROUND(1+(J106/100),3),"F"),IF(
J106="",IFERROR(ROUND(H106/B106,3),"F"),
"F")))</f>
        <v>F</v>
      </c>
      <c r="E114" s="78" t="str">
        <f>IF(
OR(L107=1,N107=1,P107=1),"F",IF(
P106="",IFERROR(ROUND(1+(R106/100),3),"F"),IF(
R106="",IFERROR(ROUND(P106/L106,3),"F"),
"F")))</f>
        <v>F</v>
      </c>
      <c r="F114" s="78" t="str">
        <f>IF(
V107=1,"F",
IFERROR(ROUND(1+(V106/100),3),"F"))</f>
        <v>F</v>
      </c>
    </row>
    <row r="115" spans="1:21" ht="18" customHeight="1">
      <c r="C115" s="1948" t="s">
        <v>160</v>
      </c>
      <c r="D115" s="1948"/>
      <c r="E115" s="1948"/>
      <c r="F115" s="1948"/>
    </row>
    <row r="118" spans="1:21" s="4" customFormat="1" ht="18" customHeight="1">
      <c r="A118" s="10"/>
      <c r="B118" s="66" t="s">
        <v>123</v>
      </c>
    </row>
    <row r="119" spans="1:21" ht="18" customHeight="1" thickBot="1"/>
    <row r="120" spans="1:21" ht="18" customHeight="1" thickBot="1">
      <c r="B120" s="12" t="s">
        <v>166</v>
      </c>
      <c r="I120" s="152" t="s">
        <v>179</v>
      </c>
      <c r="J120" s="141"/>
      <c r="K120" s="142" t="s">
        <v>170</v>
      </c>
      <c r="L120" s="142" t="s">
        <v>171</v>
      </c>
      <c r="M120" s="157" t="s">
        <v>172</v>
      </c>
      <c r="N120" s="157" t="s">
        <v>173</v>
      </c>
      <c r="O120" s="142" t="s">
        <v>174</v>
      </c>
      <c r="P120" s="142" t="s">
        <v>192</v>
      </c>
      <c r="Q120" s="452" t="s">
        <v>193</v>
      </c>
      <c r="R120" s="157" t="s">
        <v>426</v>
      </c>
      <c r="S120" s="142" t="s">
        <v>432</v>
      </c>
      <c r="T120" s="142" t="s">
        <v>433</v>
      </c>
      <c r="U120" s="143" t="s">
        <v>433</v>
      </c>
    </row>
    <row r="121" spans="1:21" ht="18" customHeight="1" thickBot="1">
      <c r="B121" s="93">
        <f>IF(SUM(K124:M124)=0,0,1)</f>
        <v>1</v>
      </c>
      <c r="I121" s="144"/>
      <c r="J121" s="3"/>
      <c r="K121" s="137">
        <f>IF(R39&gt;0,1,0)</f>
        <v>0</v>
      </c>
      <c r="L121" s="137">
        <f>IF(W52&gt;0,1,0)</f>
        <v>0</v>
      </c>
      <c r="M121" s="137">
        <f>IF(VA_TF="F",1,0)</f>
        <v>0</v>
      </c>
      <c r="N121" s="137">
        <f>F62+P62</f>
        <v>0</v>
      </c>
      <c r="O121" s="137">
        <f>J62+T62</f>
        <v>0</v>
      </c>
      <c r="P121" s="158">
        <f>H68+J68+L68+R68+T68+V68</f>
        <v>0</v>
      </c>
      <c r="Q121" s="453">
        <f>I68+K68+M68+S68+U68+W68</f>
        <v>0</v>
      </c>
      <c r="R121" s="454">
        <f>IF(OR(
AND(R122=1,'D ▪ Kostenanalyse'!M51&gt;SUM('D ▪ Kostenanalyse'!N48:'D ▪ Kostenanalyse'!N50)),
AND(R122=2,'D ▪ Kostenanalyse'!M51&gt;SUM('D ▪ Kostenanalyse'!M48:'D ▪ Kostenanalyse'!M50)),
AND(R122=2,SUM('D ▪ Kostenanalyse'!M48:'D ▪ Kostenanalyse'!M50)&gt;'D ▪ Kostenanalyse'!M47)),
1,0)</f>
        <v>0</v>
      </c>
      <c r="S121" s="457">
        <f>IF(('D ▪ Kostenanalyse'!Q96+'D ▪ Kostenanalyse'!Q98)&gt;1,1,0)</f>
        <v>0</v>
      </c>
      <c r="T121" s="457">
        <f>IF('D ▪ Kostenanalyse'!Q105&gt;'D ▪ Kostenanalyse'!S104,1,0)</f>
        <v>0</v>
      </c>
      <c r="U121" s="458">
        <f>IF(('D ▪ Kostenanalyse'!M141+'D ▪ Kostenanalyse'!M142+'D ▪ Kostenanalyse'!M143)&gt;'D ▪ Kostenanalyse'!M140,1,0)</f>
        <v>0</v>
      </c>
    </row>
    <row r="122" spans="1:21" ht="18" customHeight="1">
      <c r="I122" s="144"/>
      <c r="J122" s="145" t="s">
        <v>168</v>
      </c>
      <c r="K122" s="138">
        <f>IF(VA_BESTANDSEINGABE=0,1,0)</f>
        <v>1</v>
      </c>
      <c r="L122" s="138">
        <f>IF(VA_BESTANDSEINGABE=0,1,0)</f>
        <v>1</v>
      </c>
      <c r="M122" s="138">
        <f>IF(VA_BESTANDSEINGABE=0,1,0)</f>
        <v>1</v>
      </c>
      <c r="N122" s="165"/>
      <c r="O122" s="166"/>
      <c r="P122" s="1937" t="s">
        <v>428</v>
      </c>
      <c r="Q122" s="1938"/>
      <c r="R122" s="1946">
        <f>VA_KOSTENANALYSE</f>
        <v>1</v>
      </c>
      <c r="S122" s="1946">
        <f>VA_KOSTENANALYSE</f>
        <v>1</v>
      </c>
      <c r="T122" s="1946">
        <f>VA_KOSTENANALYSE</f>
        <v>1</v>
      </c>
      <c r="U122" s="1941">
        <f>VA_KOSTENANALYSE</f>
        <v>1</v>
      </c>
    </row>
    <row r="123" spans="1:21" ht="18" customHeight="1" thickBot="1">
      <c r="B123" s="12" t="s">
        <v>190</v>
      </c>
      <c r="E123" s="12" t="s">
        <v>425</v>
      </c>
      <c r="I123" s="144"/>
      <c r="J123" s="145" t="s">
        <v>169</v>
      </c>
      <c r="K123" s="139">
        <f>IF(VA_TFAUSWAHL=0,1,0)</f>
        <v>1</v>
      </c>
      <c r="L123" s="139">
        <f>IF(VA_TFAUSWAHL=0,1,0)</f>
        <v>1</v>
      </c>
      <c r="M123" s="139">
        <f>IF(VA_TFAUSWAHL=0,1,0)</f>
        <v>1</v>
      </c>
      <c r="N123" s="163"/>
      <c r="O123" s="164"/>
      <c r="P123" s="1939"/>
      <c r="Q123" s="1940"/>
      <c r="R123" s="1947"/>
      <c r="S123" s="1947"/>
      <c r="T123" s="1947"/>
      <c r="U123" s="1942"/>
    </row>
    <row r="124" spans="1:21" ht="18" customHeight="1" thickBot="1">
      <c r="B124" s="93">
        <f>IF(SUM(K125:M125)=0,0,1)</f>
        <v>0</v>
      </c>
      <c r="E124" s="93">
        <f>IF(SUM(R126:U126)=0,0,1)</f>
        <v>0</v>
      </c>
      <c r="I124" s="144"/>
      <c r="J124" s="145" t="s">
        <v>167</v>
      </c>
      <c r="K124" s="137">
        <f>IF(SUM(K122:K123)=0,0,1)</f>
        <v>1</v>
      </c>
      <c r="L124" s="137">
        <f>IF(SUM(L122:L123)=0,0,1)</f>
        <v>1</v>
      </c>
      <c r="M124" s="137">
        <f>IF(SUM(M122:M123)=0,0,1)</f>
        <v>1</v>
      </c>
      <c r="N124" s="1956">
        <f>VA_FEHLERMODUL</f>
        <v>1</v>
      </c>
      <c r="O124" s="1958"/>
      <c r="P124" s="1957"/>
      <c r="Q124" s="450">
        <f>VA_FEHLERMODUL</f>
        <v>1</v>
      </c>
      <c r="R124" s="450">
        <f>VA_FEHLERMODUL</f>
        <v>1</v>
      </c>
      <c r="S124" s="450">
        <f>VA_FEHLERMODUL</f>
        <v>1</v>
      </c>
      <c r="T124" s="450">
        <f>VA_FEHLERMODUL</f>
        <v>1</v>
      </c>
      <c r="U124" s="180">
        <f>VA_FEHLERMODUL</f>
        <v>1</v>
      </c>
    </row>
    <row r="125" spans="1:21" ht="18" customHeight="1">
      <c r="I125" s="144"/>
      <c r="J125" s="145" t="s">
        <v>194</v>
      </c>
      <c r="K125" s="1956">
        <f>IF(OR(AND(K121&gt;0,K122=0),AND(L121&gt;0,L122=0)),1,0)</f>
        <v>0</v>
      </c>
      <c r="L125" s="1957"/>
      <c r="M125" s="137">
        <f>IF(AND(M121&gt;0,M123=0),1,0)</f>
        <v>0</v>
      </c>
      <c r="N125" s="1956">
        <f>VA_FEHLER_AB</f>
        <v>0</v>
      </c>
      <c r="O125" s="1958"/>
      <c r="P125" s="1957"/>
      <c r="Q125" s="450">
        <f>VA_FEHLER_AB</f>
        <v>0</v>
      </c>
      <c r="R125" s="450">
        <f>VA_FEHLER_AB</f>
        <v>0</v>
      </c>
      <c r="S125" s="450">
        <f>VA_FEHLER_AB</f>
        <v>0</v>
      </c>
      <c r="T125" s="450">
        <f>VA_FEHLER_AB</f>
        <v>0</v>
      </c>
      <c r="U125" s="180">
        <f>VA_FEHLER_AB</f>
        <v>0</v>
      </c>
    </row>
    <row r="126" spans="1:21" ht="18" customHeight="1" thickBot="1">
      <c r="B126" s="12" t="s">
        <v>191</v>
      </c>
      <c r="E126" s="12" t="s">
        <v>237</v>
      </c>
      <c r="I126" s="144"/>
      <c r="J126" s="161" t="s">
        <v>427</v>
      </c>
      <c r="K126" s="162"/>
      <c r="L126" s="162"/>
      <c r="M126" s="162"/>
      <c r="N126" s="1956">
        <f>IF(
N124&gt;0,0,IF(
N125&gt;0,0,IF(
OR(N121&gt;0,O121&gt;0,P121&gt;0),1,
0)))</f>
        <v>0</v>
      </c>
      <c r="O126" s="1958"/>
      <c r="P126" s="1957"/>
      <c r="Q126" s="456">
        <f>IF(
Q124&gt;0,0,IF(
Q125&gt;0,0,IF(
OR(N121&gt;0,O121&gt;0,P121&gt;0,Q121&gt;0),1,
0)))</f>
        <v>0</v>
      </c>
      <c r="R126" s="450">
        <f>IF(
AND(R122=1,VA_FEHLER_CD=1),0,IF(
AND(R121=1,R122=2),1,IF(
AND(R122=1,OR(R124=1,R125=1)),0,IF(
AND(R121=1,R122=1),1,0))))</f>
        <v>0</v>
      </c>
      <c r="S126" s="450">
        <f>IF(
AND(S122=1,VA_FEHLER_CD=1),0,IF(
AND(S121=1,S122=2),1,IF(
AND(S122=1,OR(S124=1,S125=1)),0,IF(
AND(S121=1,S122=1),1,0))))</f>
        <v>0</v>
      </c>
      <c r="T126" s="450">
        <f>IF(
AND(T122=1,VA_FEHLER_CD=1),0,IF(
AND(T121=1,T122=2),1,IF(
AND(T122=1,OR(T124=1,T125=1)),0,IF(
AND(T121=1,T122=1),1,0))))</f>
        <v>0</v>
      </c>
      <c r="U126" s="180">
        <f>IF(
AND(U122=1,VA_FEHLER_CD=1),0,IF(
AND(U121=1,U122=2),1,IF(
AND(U122=1,OR(U124=1,U125=1)),0,IF(
AND(U121=1,U122=1),1,0))))</f>
        <v>0</v>
      </c>
    </row>
    <row r="127" spans="1:21" ht="18" customHeight="1" thickBot="1">
      <c r="B127" s="93">
        <f>IF(SUM(N126)=0,0,1)</f>
        <v>0</v>
      </c>
      <c r="E127" s="93">
        <f>IF(SUM(N126:Q126)=0,0,1)</f>
        <v>0</v>
      </c>
      <c r="F127" s="189" t="s">
        <v>236</v>
      </c>
      <c r="I127" s="144"/>
      <c r="J127" s="145" t="s">
        <v>176</v>
      </c>
      <c r="K127" s="1943" t="str">
        <f>IF(K125=1,"   Teil A","")</f>
        <v/>
      </c>
      <c r="L127" s="1955"/>
      <c r="M127" s="140" t="str">
        <f>IF(M125=1,"   Teil B","")</f>
        <v/>
      </c>
      <c r="N127" s="1943" t="str">
        <f>IF(N126=1,"   Teil C","")</f>
        <v/>
      </c>
      <c r="O127" s="1944"/>
      <c r="P127" s="1944"/>
      <c r="Q127" s="1955"/>
      <c r="R127" s="1943" t="str">
        <f>IF(VA_FEHLER_D=1,"   Teil D","")</f>
        <v/>
      </c>
      <c r="S127" s="1944"/>
      <c r="T127" s="1944"/>
      <c r="U127" s="1945"/>
    </row>
    <row r="128" spans="1:21" ht="18" customHeight="1">
      <c r="H128" s="109"/>
      <c r="I128" s="144"/>
      <c r="J128" s="145" t="s">
        <v>177</v>
      </c>
      <c r="K128" s="1947" t="str">
        <f>K127&amp;M127&amp;N127&amp;R127</f>
        <v/>
      </c>
      <c r="L128" s="1984"/>
      <c r="M128" s="1984"/>
      <c r="N128" s="1984"/>
      <c r="O128" s="1984"/>
      <c r="P128" s="1984"/>
      <c r="Q128" s="1984"/>
      <c r="R128" s="1984"/>
      <c r="S128" s="1984"/>
      <c r="T128" s="1984"/>
      <c r="U128" s="1985"/>
    </row>
    <row r="129" spans="1:21" ht="18" customHeight="1" thickBot="1">
      <c r="B129" s="12" t="s">
        <v>163</v>
      </c>
      <c r="I129" s="146"/>
      <c r="J129" s="151"/>
      <c r="K129" s="151"/>
      <c r="L129" s="151"/>
      <c r="M129" s="151"/>
      <c r="N129" s="151"/>
      <c r="O129" s="151"/>
      <c r="P129" s="151"/>
      <c r="Q129" s="151"/>
      <c r="R129" s="151"/>
      <c r="S129" s="151"/>
      <c r="T129" s="151"/>
      <c r="U129" s="156"/>
    </row>
    <row r="130" spans="1:21" ht="18" customHeight="1">
      <c r="B130" s="94" t="s">
        <v>138</v>
      </c>
      <c r="Q130" s="113"/>
    </row>
    <row r="131" spans="1:21" ht="18" customHeight="1">
      <c r="J131" s="2" t="s">
        <v>284</v>
      </c>
      <c r="S131" s="1983" t="s">
        <v>213</v>
      </c>
      <c r="T131" s="1983"/>
      <c r="U131" s="1983"/>
    </row>
    <row r="132" spans="1:21" ht="18" customHeight="1">
      <c r="B132" s="12" t="s">
        <v>165</v>
      </c>
      <c r="S132" s="1980" t="s">
        <v>214</v>
      </c>
      <c r="T132" s="1981"/>
      <c r="U132" s="1982"/>
    </row>
    <row r="133" spans="1:21" ht="18" customHeight="1">
      <c r="B133" s="94" t="s">
        <v>164</v>
      </c>
    </row>
    <row r="135" spans="1:21" ht="18" customHeight="1">
      <c r="B135" s="12" t="s">
        <v>175</v>
      </c>
      <c r="I135" s="12" t="s">
        <v>442</v>
      </c>
    </row>
    <row r="136" spans="1:21" ht="18" customHeight="1">
      <c r="B136" s="94" t="str">
        <f>IF(OR(VA_FEHLER_AB=1,VA_FEHLER_C=1,VA_FEHLER_D=1),B137,IF(
AND(VA_KOSTENANALYSE=1,VA_FEHLER_CD=1),"Es sind noch nicht alle Stellplätze auf Abstelltypen in Teil C unten verteilt. Kostenanalyse/Kurzbericht nicht möglich.",
""))</f>
        <v/>
      </c>
      <c r="I136" s="94" t="s">
        <v>443</v>
      </c>
    </row>
    <row r="137" spans="1:21" ht="18" customHeight="1">
      <c r="A137" s="159"/>
      <c r="B137" s="2" t="str">
        <f>"Bitte prüfen Sie Ihre Eingaben in    ►"&amp;K128</f>
        <v>Bitte prüfen Sie Ihre Eingaben in    ►</v>
      </c>
    </row>
    <row r="141" spans="1:21" s="7" customFormat="1" ht="18" customHeight="1">
      <c r="A141" s="8"/>
      <c r="B141" s="66" t="s">
        <v>26</v>
      </c>
    </row>
    <row r="143" spans="1:21" ht="18" customHeight="1">
      <c r="A143"/>
      <c r="B143" s="12" t="s">
        <v>25</v>
      </c>
    </row>
    <row r="144" spans="1:21" ht="18" customHeight="1">
      <c r="A144"/>
      <c r="B144" s="9">
        <f>IFERROR(VLOOKUP(VE_BESTANDSEINGABE,B146:H148,7,FALSE),0)</f>
        <v>0</v>
      </c>
    </row>
    <row r="145" spans="1:8" ht="18" customHeight="1">
      <c r="B145" s="12" t="s">
        <v>23</v>
      </c>
    </row>
    <row r="146" spans="1:8" ht="18" customHeight="1">
      <c r="A146"/>
      <c r="B146" s="400" t="s">
        <v>676</v>
      </c>
      <c r="C146" s="395"/>
      <c r="D146" s="395"/>
      <c r="E146" s="395"/>
      <c r="F146" s="395"/>
      <c r="G146" s="395"/>
      <c r="H146" s="396">
        <v>0</v>
      </c>
    </row>
    <row r="147" spans="1:8" ht="18" customHeight="1">
      <c r="A147"/>
      <c r="B147" s="401" t="s">
        <v>680</v>
      </c>
      <c r="H147" s="397">
        <v>1</v>
      </c>
    </row>
    <row r="148" spans="1:8" ht="18" customHeight="1">
      <c r="A148"/>
      <c r="B148" s="402" t="s">
        <v>679</v>
      </c>
      <c r="C148" s="398"/>
      <c r="D148" s="398"/>
      <c r="E148" s="398"/>
      <c r="F148" s="398"/>
      <c r="G148" s="398"/>
      <c r="H148" s="399">
        <v>2</v>
      </c>
    </row>
    <row r="149" spans="1:8" ht="18" customHeight="1">
      <c r="A149"/>
    </row>
    <row r="150" spans="1:8" ht="18" customHeight="1">
      <c r="A150"/>
      <c r="B150" s="12" t="s">
        <v>71</v>
      </c>
    </row>
    <row r="151" spans="1:8" ht="18" customHeight="1">
      <c r="A151"/>
      <c r="B151" s="9">
        <f>IFERROR(VLOOKUP(VE_TFAUSWAHL,B153:H157,7,FALSE),0)</f>
        <v>0</v>
      </c>
    </row>
    <row r="152" spans="1:8" ht="18" customHeight="1">
      <c r="A152"/>
      <c r="B152" s="12" t="s">
        <v>72</v>
      </c>
    </row>
    <row r="153" spans="1:8" ht="18" customHeight="1">
      <c r="A153"/>
      <c r="B153" s="400" t="s">
        <v>24</v>
      </c>
      <c r="C153" s="395"/>
      <c r="D153" s="395"/>
      <c r="E153" s="395"/>
      <c r="F153" s="395"/>
      <c r="G153" s="395"/>
      <c r="H153" s="396">
        <v>0</v>
      </c>
    </row>
    <row r="154" spans="1:8" ht="18" customHeight="1">
      <c r="A154"/>
      <c r="B154" s="401" t="s">
        <v>55</v>
      </c>
      <c r="H154" s="397">
        <v>1</v>
      </c>
    </row>
    <row r="155" spans="1:8" ht="18" customHeight="1">
      <c r="A155"/>
      <c r="B155" s="401" t="s">
        <v>157</v>
      </c>
      <c r="H155" s="397">
        <v>2</v>
      </c>
    </row>
    <row r="156" spans="1:8" ht="18" customHeight="1">
      <c r="A156"/>
      <c r="B156" s="401" t="s">
        <v>60</v>
      </c>
      <c r="H156" s="397">
        <v>3</v>
      </c>
    </row>
    <row r="157" spans="1:8" ht="18" customHeight="1">
      <c r="A157"/>
      <c r="B157" s="402" t="s">
        <v>16</v>
      </c>
      <c r="C157" s="398"/>
      <c r="D157" s="398"/>
      <c r="E157" s="398"/>
      <c r="F157" s="398"/>
      <c r="G157" s="398"/>
      <c r="H157" s="399">
        <v>4</v>
      </c>
    </row>
    <row r="158" spans="1:8" ht="18" customHeight="1">
      <c r="A158"/>
    </row>
    <row r="159" spans="1:8" ht="18" customHeight="1">
      <c r="A159"/>
      <c r="B159" s="12" t="s">
        <v>81</v>
      </c>
    </row>
    <row r="160" spans="1:8" ht="18" customHeight="1">
      <c r="A160"/>
      <c r="B160" s="9">
        <f>IF(VA_TFAUSWAHL=3,IFERROR(VLOOKUP(VE_3_UVB,B162:H164,7,FALSE),1),1)</f>
        <v>1</v>
      </c>
    </row>
    <row r="161" spans="1:8" ht="18" customHeight="1">
      <c r="A161"/>
      <c r="B161" s="12" t="s">
        <v>85</v>
      </c>
    </row>
    <row r="162" spans="1:8" ht="18" customHeight="1">
      <c r="A162"/>
      <c r="B162" s="400" t="s">
        <v>82</v>
      </c>
      <c r="C162" s="395"/>
      <c r="D162" s="395"/>
      <c r="E162" s="395"/>
      <c r="F162" s="395"/>
      <c r="G162" s="395"/>
      <c r="H162" s="396">
        <v>1</v>
      </c>
    </row>
    <row r="163" spans="1:8" ht="18" customHeight="1">
      <c r="A163"/>
      <c r="B163" s="401" t="s">
        <v>83</v>
      </c>
      <c r="H163" s="397">
        <v>1.1000000000000001</v>
      </c>
    </row>
    <row r="164" spans="1:8" ht="18" customHeight="1">
      <c r="A164"/>
      <c r="B164" s="402" t="s">
        <v>84</v>
      </c>
      <c r="C164" s="398"/>
      <c r="D164" s="398"/>
      <c r="E164" s="398"/>
      <c r="F164" s="398"/>
      <c r="G164" s="398"/>
      <c r="H164" s="399">
        <v>1.25</v>
      </c>
    </row>
    <row r="165" spans="1:8" ht="18" customHeight="1">
      <c r="A165"/>
    </row>
    <row r="166" spans="1:8" ht="18" customHeight="1">
      <c r="A166"/>
      <c r="B166" s="12" t="s">
        <v>134</v>
      </c>
    </row>
    <row r="167" spans="1:8" ht="18" customHeight="1">
      <c r="A167"/>
      <c r="B167" s="9">
        <f>IF(VA_BESTANDSEINGABE=1,0,IFERROR(VLOOKUP(VE_ZUSAMMEN,B169:H170,7,FALSE),0))</f>
        <v>1</v>
      </c>
    </row>
    <row r="168" spans="1:8" ht="18" customHeight="1">
      <c r="A168"/>
      <c r="B168" s="12" t="s">
        <v>135</v>
      </c>
    </row>
    <row r="169" spans="1:8" ht="18" customHeight="1">
      <c r="A169"/>
      <c r="B169" s="400" t="s">
        <v>109</v>
      </c>
      <c r="C169" s="395"/>
      <c r="D169" s="395"/>
      <c r="E169" s="395"/>
      <c r="F169" s="395"/>
      <c r="G169" s="395"/>
      <c r="H169" s="396">
        <v>0</v>
      </c>
    </row>
    <row r="170" spans="1:8" ht="18" customHeight="1">
      <c r="A170"/>
      <c r="B170" s="402" t="s">
        <v>136</v>
      </c>
      <c r="C170" s="398"/>
      <c r="D170" s="398"/>
      <c r="E170" s="398"/>
      <c r="F170" s="398"/>
      <c r="G170" s="398"/>
      <c r="H170" s="399">
        <v>1</v>
      </c>
    </row>
    <row r="172" spans="1:8" ht="18" customHeight="1">
      <c r="B172" s="12" t="s">
        <v>184</v>
      </c>
    </row>
    <row r="173" spans="1:8" ht="18" customHeight="1">
      <c r="B173" s="155" t="str">
        <f>IF(
VA_FEHLERMODUL&gt;0,B178,IF(
VA_FEHLER_AB&gt;0,B179,
B177))</f>
        <v>es fehlen noch Daten</v>
      </c>
    </row>
    <row r="174" spans="1:8" ht="18" customHeight="1">
      <c r="B174" s="9">
        <f>IF(
VA_BESTANDSEINGABE=1,B175,IF(
VA_ZUSAMMEN=1,B175,IF(
VA_BESTANDSEINGABE=2,B175+B176,
0)))</f>
        <v>0</v>
      </c>
    </row>
    <row r="175" spans="1:8" ht="18" customHeight="1">
      <c r="A175" s="13" t="s">
        <v>185</v>
      </c>
      <c r="B175" s="1">
        <f>VE_BB_1</f>
        <v>0</v>
      </c>
    </row>
    <row r="176" spans="1:8" ht="18" customHeight="1">
      <c r="A176" s="13" t="s">
        <v>186</v>
      </c>
      <c r="B176" s="1">
        <f>VE_BB_2</f>
        <v>0</v>
      </c>
    </row>
    <row r="177" spans="1:8" ht="18" customHeight="1">
      <c r="A177" s="9"/>
      <c r="B177" s="2" t="str">
        <f>TEXT(B174,"#.##0")&amp;IF(B174=1," Stellplatz"," Stellplätze")</f>
        <v>0 Stellplätze</v>
      </c>
    </row>
    <row r="178" spans="1:8" ht="18" customHeight="1">
      <c r="A178" s="9"/>
      <c r="B178" s="2" t="s">
        <v>187</v>
      </c>
    </row>
    <row r="179" spans="1:8" ht="18" customHeight="1">
      <c r="A179" s="9"/>
      <c r="B179" s="2" t="s">
        <v>188</v>
      </c>
    </row>
    <row r="181" spans="1:8" ht="18" customHeight="1">
      <c r="B181" s="12" t="s">
        <v>316</v>
      </c>
    </row>
    <row r="182" spans="1:8" ht="18" customHeight="1">
      <c r="B182" s="9">
        <f>IFERROR(VLOOKUP(VE_KOSTENANALYSE,B184:H186,7,TRUE),0)</f>
        <v>1</v>
      </c>
    </row>
    <row r="183" spans="1:8" ht="18" customHeight="1">
      <c r="B183" s="12" t="s">
        <v>319</v>
      </c>
    </row>
    <row r="184" spans="1:8" ht="18" customHeight="1">
      <c r="B184" s="419" t="s">
        <v>24</v>
      </c>
      <c r="H184" s="481">
        <v>0</v>
      </c>
    </row>
    <row r="185" spans="1:8" ht="18" customHeight="1">
      <c r="B185" s="415" t="s">
        <v>317</v>
      </c>
      <c r="C185" s="416"/>
      <c r="D185" s="416"/>
      <c r="E185" s="416"/>
      <c r="F185" s="416"/>
      <c r="G185" s="416"/>
      <c r="H185" s="417">
        <v>1</v>
      </c>
    </row>
    <row r="186" spans="1:8" ht="18" customHeight="1">
      <c r="B186" s="418" t="s">
        <v>318</v>
      </c>
      <c r="C186" s="419"/>
      <c r="D186" s="419"/>
      <c r="E186" s="419"/>
      <c r="F186" s="419"/>
      <c r="G186" s="419"/>
      <c r="H186" s="420">
        <v>2</v>
      </c>
    </row>
    <row r="190" spans="1:8" s="4" customFormat="1" ht="18" customHeight="1">
      <c r="B190" s="66" t="s">
        <v>14</v>
      </c>
    </row>
    <row r="192" spans="1:8" ht="18" customHeight="1">
      <c r="B192" s="12" t="s">
        <v>30</v>
      </c>
    </row>
    <row r="193" spans="1:2" ht="18" customHeight="1">
      <c r="B193" s="6" t="str">
        <f>IFERROR(VLOOKUP(VA_BESTANDSEINGABE,A194:B196,2,FALSE),"")</f>
        <v/>
      </c>
    </row>
    <row r="194" spans="1:2" ht="18" customHeight="1">
      <c r="A194" s="13">
        <v>0</v>
      </c>
      <c r="B194" s="15" t="s">
        <v>29</v>
      </c>
    </row>
    <row r="195" spans="1:2" ht="18" customHeight="1">
      <c r="A195" s="13">
        <v>1</v>
      </c>
      <c r="B195" s="2" t="s">
        <v>32</v>
      </c>
    </row>
    <row r="196" spans="1:2" ht="18" customHeight="1">
      <c r="A196" s="13">
        <v>2</v>
      </c>
      <c r="B196" s="2" t="s">
        <v>28</v>
      </c>
    </row>
    <row r="198" spans="1:2" ht="18" customHeight="1">
      <c r="B198" s="12" t="s">
        <v>31</v>
      </c>
    </row>
    <row r="199" spans="1:2" ht="18" customHeight="1">
      <c r="B199" s="6" t="str">
        <f>IFERROR(VLOOKUP(VA_BESTANDSEINGABE,A200:B202,2,FALSE),"")</f>
        <v/>
      </c>
    </row>
    <row r="200" spans="1:2" ht="18" customHeight="1">
      <c r="A200" s="13">
        <v>0</v>
      </c>
      <c r="B200" s="15" t="s">
        <v>29</v>
      </c>
    </row>
    <row r="201" spans="1:2" ht="18" customHeight="1">
      <c r="A201" s="13">
        <v>1</v>
      </c>
      <c r="B201" s="15" t="s">
        <v>29</v>
      </c>
    </row>
    <row r="202" spans="1:2" ht="18" customHeight="1">
      <c r="A202" s="13">
        <v>2</v>
      </c>
      <c r="B202" s="2" t="s">
        <v>28</v>
      </c>
    </row>
    <row r="204" spans="1:2" ht="18" customHeight="1">
      <c r="B204" s="160" t="s">
        <v>101</v>
      </c>
    </row>
    <row r="205" spans="1:2" ht="18" customHeight="1">
      <c r="B205" s="6" t="str">
        <f>IF(OR(VA_FEHLER_AB&gt;0,VA_FEHLERMODUL&gt;0),B207,B206)</f>
        <v>Zusammenfassung und Berechnung können nicht angezeigt werden. Bitte prüfen Sie Ihre Eingaben.</v>
      </c>
    </row>
    <row r="206" spans="1:2" ht="18" customHeight="1">
      <c r="A206" s="13"/>
      <c r="B206" s="2" t="str">
        <f>IF(VA_VERKEHRSSTATION="","Zusammenfassung Ihrer Eingaben","Zusammenfassung Ihrer Eingaben für "&amp;VA_VERKEHRSSTATION)</f>
        <v>Zusammenfassung Ihrer Eingaben</v>
      </c>
    </row>
    <row r="207" spans="1:2" ht="18" customHeight="1">
      <c r="A207" s="13"/>
      <c r="B207" s="2" t="s">
        <v>189</v>
      </c>
    </row>
    <row r="209" spans="1:17" ht="18" customHeight="1">
      <c r="B209" s="12" t="s">
        <v>124</v>
      </c>
    </row>
    <row r="210" spans="1:17" ht="18" customHeight="1">
      <c r="B210" s="6" t="str">
        <f>IFERROR(VLOOKUP(VA_TFAUSWAHL,A211:B215,2,FALSE),"interner Fehler")</f>
        <v>Trendfaktor ermittelt durch: keine Auswahl</v>
      </c>
    </row>
    <row r="211" spans="1:17" ht="18" customHeight="1">
      <c r="A211" s="13">
        <v>0</v>
      </c>
      <c r="B211" s="2" t="s">
        <v>128</v>
      </c>
    </row>
    <row r="212" spans="1:17" ht="18" customHeight="1">
      <c r="A212" s="13">
        <v>1</v>
      </c>
      <c r="B212" s="2" t="str">
        <f>"Trendfaktor ermittelt durch: "&amp;VE_TFAUSWAHL</f>
        <v>Trendfaktor ermittelt durch: Bitte klicken und auswählen…</v>
      </c>
      <c r="O212"/>
      <c r="P212"/>
      <c r="Q212"/>
    </row>
    <row r="213" spans="1:17" ht="18" customHeight="1">
      <c r="A213" s="13">
        <v>2</v>
      </c>
      <c r="B213" s="2" t="str">
        <f>"Trendfaktor ermittelt durch: "&amp;VE_TFAUSWAHL&amp;IF(VP_2_RVJAHR="",""," ("&amp;VP_2_RVJAHR&amp;")")</f>
        <v>Trendfaktor ermittelt durch: Bitte klicken und auswählen…</v>
      </c>
      <c r="O213"/>
      <c r="P213"/>
      <c r="Q213"/>
    </row>
    <row r="214" spans="1:17" ht="18" customHeight="1">
      <c r="A214" s="13">
        <v>3</v>
      </c>
      <c r="B214" s="2" t="str">
        <f>"Trendfaktor ermittelt durch: "&amp;VE_TFAUSWAHL&amp;IF(VP_3_BVJAHR="",""," ("&amp;VP_3_BVJAHR&amp;")")</f>
        <v>Trendfaktor ermittelt durch: Bitte klicken und auswählen…</v>
      </c>
      <c r="O214"/>
      <c r="P214"/>
      <c r="Q214"/>
    </row>
    <row r="215" spans="1:17" ht="18" customHeight="1">
      <c r="A215" s="13">
        <v>4</v>
      </c>
      <c r="B215" s="2" t="str">
        <f>"Trendfaktor ermittelt durch: "&amp;VE_TFAUSWAHL</f>
        <v>Trendfaktor ermittelt durch: Bitte klicken und auswählen…</v>
      </c>
      <c r="O215"/>
      <c r="P215"/>
      <c r="Q215"/>
    </row>
    <row r="216" spans="1:17" ht="18" customHeight="1">
      <c r="O216"/>
      <c r="P216"/>
      <c r="Q216"/>
    </row>
    <row r="217" spans="1:17" ht="18" customHeight="1">
      <c r="B217" s="12" t="s">
        <v>125</v>
      </c>
    </row>
    <row r="218" spans="1:17" ht="18" customHeight="1">
      <c r="B218" s="6" t="str">
        <f>IFERROR(VLOOKUP(VA_TFAUSWAHL,A219:B223,2,FALSE),"interner Fehler")</f>
        <v>Anteil Umweltverbund (nur bei Bevölkerungsprognose relevant)</v>
      </c>
    </row>
    <row r="219" spans="1:17" ht="18" customHeight="1">
      <c r="A219" s="13">
        <v>0</v>
      </c>
      <c r="B219" s="2" t="s">
        <v>155</v>
      </c>
    </row>
    <row r="220" spans="1:17" ht="18" customHeight="1">
      <c r="A220" s="13">
        <v>1</v>
      </c>
      <c r="B220" s="2" t="s">
        <v>155</v>
      </c>
    </row>
    <row r="221" spans="1:17" ht="18" customHeight="1">
      <c r="A221" s="13">
        <v>2</v>
      </c>
      <c r="B221" s="2" t="s">
        <v>155</v>
      </c>
    </row>
    <row r="222" spans="1:17" ht="18" customHeight="1">
      <c r="A222" s="13">
        <v>3</v>
      </c>
      <c r="B222" s="2" t="str">
        <f>"Anteil Umweltverbund"&amp;IF(VP_3_BVJAHR="",""," (bezogen auf "&amp;VP_3_BVJAHR&amp;")")&amp;": "&amp;VE_3_UVB</f>
        <v>Anteil Umweltverbund: gleichbleibend</v>
      </c>
    </row>
    <row r="223" spans="1:17" ht="18" customHeight="1">
      <c r="A223" s="13">
        <v>4</v>
      </c>
      <c r="B223" s="2" t="s">
        <v>155</v>
      </c>
    </row>
    <row r="225" spans="1:4" ht="18" customHeight="1">
      <c r="B225" s="12" t="s">
        <v>126</v>
      </c>
      <c r="C225" s="9" t="str">
        <f>IF(
IFERROR(ROUND((VA_TF-1)*100,1),0)=0," (± "&amp;IFERROR(ROUND((VA_TF-1)*100,1),0)&amp;" %)",IF(
IFERROR(ROUND((VA_TF-1)*100,1),0)&gt;0," (+ "&amp;IFERROR(ROUND((VA_TF-1)*100,1),0)&amp;" %)",
" ("&amp;IFERROR(ROUND((VA_TF-1)*100,1),0)&amp;" %)"))</f>
        <v xml:space="preserve"> (± 0 %)</v>
      </c>
      <c r="D225" s="1"/>
    </row>
    <row r="226" spans="1:4" ht="18" customHeight="1">
      <c r="B226" s="6" t="str">
        <f>IFERROR(VLOOKUP(VA_TFAUSWAHL,A227:B231,2,FALSE),"interner Fehler")</f>
        <v>Benötigte zusätzliche Stellplätze aufgrund Trendfaktor</v>
      </c>
    </row>
    <row r="227" spans="1:4" ht="18" customHeight="1">
      <c r="A227" s="13">
        <v>0</v>
      </c>
      <c r="B227" s="2" t="s">
        <v>156</v>
      </c>
    </row>
    <row r="228" spans="1:4" ht="18" customHeight="1">
      <c r="A228" s="13">
        <v>1</v>
      </c>
      <c r="B228" s="2" t="str">
        <f>"Benötigte zusätzliche Stellplätze aufgrund Trendfaktor"&amp;C225</f>
        <v>Benötigte zusätzliche Stellplätze aufgrund Trendfaktor (± 0 %)</v>
      </c>
    </row>
    <row r="229" spans="1:4" ht="18" customHeight="1">
      <c r="A229" s="13">
        <v>2</v>
      </c>
      <c r="B229" s="2" t="str">
        <f>"Benötigte zusätzliche Stellplätze aufgrund Trendfaktor"&amp;C225</f>
        <v>Benötigte zusätzliche Stellplätze aufgrund Trendfaktor (± 0 %)</v>
      </c>
    </row>
    <row r="230" spans="1:4" ht="18" customHeight="1">
      <c r="A230" s="13">
        <v>3</v>
      </c>
      <c r="B230" s="2" t="str">
        <f>"Benötigte zusätzliche Stellplätze aufgrund Trendfaktor"&amp;C225&amp;" und Umweltverbund ("&amp;IF(VP_3_UVB-1=0,"± ","+ ")&amp;(VP_3_UVB-1)*100&amp;" %)"</f>
        <v>Benötigte zusätzliche Stellplätze aufgrund Trendfaktor (± 0 %) und Umweltverbund (± 0 %)</v>
      </c>
    </row>
    <row r="231" spans="1:4" ht="18" customHeight="1">
      <c r="A231" s="13">
        <v>4</v>
      </c>
      <c r="B231" s="2" t="str">
        <f>"Benötigte zusätzliche Stellplätze aufgrund Trendfaktor"&amp;C225</f>
        <v>Benötigte zusätzliche Stellplätze aufgrund Trendfaktor (± 0 %)</v>
      </c>
    </row>
    <row r="233" spans="1:4" ht="18" customHeight="1">
      <c r="B233" s="12" t="s">
        <v>127</v>
      </c>
    </row>
    <row r="234" spans="1:4" ht="18" customHeight="1">
      <c r="B234" s="6" t="str">
        <f>IFERROR(VLOOKUP(VA_TFAUSWAHL,A235:B239,2,FALSE),"interner Fehler")</f>
        <v>Gesamtbedarf optimaler Stellplätze</v>
      </c>
    </row>
    <row r="235" spans="1:4" ht="18" customHeight="1">
      <c r="A235" s="13">
        <v>0</v>
      </c>
      <c r="B235" s="2" t="s">
        <v>196</v>
      </c>
    </row>
    <row r="236" spans="1:4" ht="18" customHeight="1">
      <c r="A236" s="13">
        <v>1</v>
      </c>
      <c r="B236" s="2" t="s">
        <v>197</v>
      </c>
    </row>
    <row r="237" spans="1:4" ht="18" customHeight="1">
      <c r="A237" s="13">
        <v>2</v>
      </c>
      <c r="B237" s="2" t="str">
        <f>"Gesamtbedarf optimaler Stellplätze"&amp;IF(F106="",""," bis "&amp;F106)</f>
        <v>Gesamtbedarf optimaler Stellplätze</v>
      </c>
    </row>
    <row r="238" spans="1:4" ht="18" customHeight="1">
      <c r="A238" s="13">
        <v>3</v>
      </c>
      <c r="B238" s="2" t="str">
        <f>"Gesamtbedarf optimaler Stellplätze"&amp;IF(N106="",""," bis "&amp;N106)</f>
        <v>Gesamtbedarf optimaler Stellplätze</v>
      </c>
    </row>
    <row r="239" spans="1:4" ht="18" customHeight="1">
      <c r="A239" s="13">
        <v>4</v>
      </c>
      <c r="B239" s="2" t="s">
        <v>196</v>
      </c>
    </row>
    <row r="241" spans="2:21" ht="18" customHeight="1">
      <c r="B241" s="12" t="s">
        <v>799</v>
      </c>
      <c r="L241" s="907"/>
    </row>
    <row r="242" spans="2:21" ht="18" customHeight="1">
      <c r="B242" s="908"/>
      <c r="C242" s="1878" t="str">
        <f>IF('A ▪ Bestandseingabe'!F29="","---",'A ▪ Bestandseingabe'!F29)</f>
        <v>---</v>
      </c>
      <c r="D242" s="1878"/>
      <c r="E242" s="1878"/>
      <c r="F242" s="1878" t="str">
        <f>IF('A ▪ Bestandseingabe'!I29="","---",'A ▪ Bestandseingabe'!I29)</f>
        <v>---</v>
      </c>
      <c r="G242" s="1878"/>
      <c r="H242" s="1878"/>
      <c r="I242" s="1878" t="str">
        <f>IF('A ▪ Bestandseingabe'!L29="","---",'A ▪ Bestandseingabe'!L29)</f>
        <v>---</v>
      </c>
      <c r="J242" s="1878"/>
      <c r="K242" s="1878"/>
      <c r="L242" s="1878" t="str">
        <f>IF('A ▪ Bestandseingabe'!O29="","---",'A ▪ Bestandseingabe'!O29)</f>
        <v>---</v>
      </c>
      <c r="M242" s="1878"/>
      <c r="N242" s="1878"/>
      <c r="O242" s="1878" t="str">
        <f>IF('A ▪ Bestandseingabe'!R29="","---",'A ▪ Bestandseingabe'!R29)</f>
        <v>---</v>
      </c>
      <c r="P242" s="1878"/>
      <c r="Q242" s="1878"/>
    </row>
    <row r="243" spans="2:21" ht="18" customHeight="1">
      <c r="B243" s="81" t="s">
        <v>800</v>
      </c>
      <c r="C243" s="1991" t="str">
        <f>"(1.) " &amp; C242 &amp; "          (2.) " &amp; F242 &amp; "          (3.) " &amp; I242 &amp; "          (4.) " &amp; L242 &amp; "          (5.) " &amp; O242</f>
        <v>(1.) ---          (2.) ---          (3.) ---          (4.) ---          (5.) ---</v>
      </c>
      <c r="D243" s="1991"/>
      <c r="E243" s="1991"/>
      <c r="F243" s="1991"/>
      <c r="G243" s="1991"/>
      <c r="H243" s="1991"/>
      <c r="I243" s="1991"/>
      <c r="J243" s="1991"/>
      <c r="K243" s="1991"/>
      <c r="L243" s="1991"/>
      <c r="M243" s="1991"/>
      <c r="N243" s="1991"/>
      <c r="O243" s="1991"/>
      <c r="P243" s="1991"/>
      <c r="Q243" s="1991"/>
    </row>
    <row r="246" spans="2:21" s="4" customFormat="1" ht="18" customHeight="1">
      <c r="B246" s="66" t="s">
        <v>606</v>
      </c>
    </row>
    <row r="248" spans="2:21" ht="18" customHeight="1">
      <c r="B248" s="537" t="s">
        <v>321</v>
      </c>
      <c r="C248" s="426" t="s">
        <v>502</v>
      </c>
      <c r="D248" s="525"/>
      <c r="E248" s="525"/>
      <c r="F248" s="525"/>
      <c r="G248" s="534"/>
      <c r="H248" s="534"/>
      <c r="I248" s="534" cm="1">
        <f t="array" ref="I248">SUM(--(I250:I256))</f>
        <v>0</v>
      </c>
      <c r="M248" s="1987" t="s">
        <v>964</v>
      </c>
      <c r="N248" s="1988"/>
      <c r="O248" s="1988"/>
      <c r="P248" s="1989"/>
      <c r="Q248" s="1004"/>
      <c r="R248" s="1004"/>
      <c r="S248" s="1005"/>
    </row>
    <row r="249" spans="2:21" ht="18" customHeight="1">
      <c r="B249" s="523"/>
      <c r="C249" s="523"/>
      <c r="D249" s="528"/>
      <c r="E249" s="528"/>
      <c r="F249" s="528"/>
      <c r="G249" s="528"/>
      <c r="H249" s="528"/>
      <c r="I249" s="528"/>
      <c r="M249" s="1986" t="s">
        <v>853</v>
      </c>
      <c r="N249" s="1336"/>
      <c r="O249" s="1336"/>
      <c r="P249" s="1336"/>
      <c r="Q249" s="998" t="b">
        <v>0</v>
      </c>
      <c r="R249" s="998" t="b">
        <v>0</v>
      </c>
      <c r="S249" s="1001" t="b">
        <v>0</v>
      </c>
      <c r="U249" s="1007" cm="1">
        <f t="array" ref="U249">SUM(--Q249:S249)</f>
        <v>0</v>
      </c>
    </row>
    <row r="250" spans="2:21" ht="18" customHeight="1">
      <c r="B250" s="547">
        <v>1</v>
      </c>
      <c r="C250" s="1608" t="s">
        <v>593</v>
      </c>
      <c r="D250" s="1608"/>
      <c r="E250" s="1608"/>
      <c r="F250" s="1608"/>
      <c r="G250" s="1608"/>
      <c r="H250" s="1609"/>
      <c r="I250" s="606" t="b">
        <v>0</v>
      </c>
      <c r="M250" s="1986" t="s">
        <v>965</v>
      </c>
      <c r="N250" s="1336"/>
      <c r="O250" s="1336"/>
      <c r="P250" s="1336"/>
      <c r="Q250" s="998" t="b">
        <v>0</v>
      </c>
      <c r="R250" s="998" t="b">
        <v>0</v>
      </c>
      <c r="S250" s="1001" t="b">
        <v>0</v>
      </c>
      <c r="U250" s="1008" cm="1">
        <f t="array" ref="U250">SUM(--Q250:S250)</f>
        <v>0</v>
      </c>
    </row>
    <row r="251" spans="2:21" ht="18" customHeight="1">
      <c r="B251" s="551">
        <v>2</v>
      </c>
      <c r="C251" s="1593" t="s">
        <v>594</v>
      </c>
      <c r="D251" s="1593"/>
      <c r="E251" s="1593"/>
      <c r="F251" s="1593"/>
      <c r="G251" s="1593"/>
      <c r="H251" s="1594"/>
      <c r="I251" s="606" t="b">
        <v>0</v>
      </c>
      <c r="M251" s="1986" t="s">
        <v>966</v>
      </c>
      <c r="N251" s="1336"/>
      <c r="O251" s="1336"/>
      <c r="P251" s="1336"/>
      <c r="Q251" s="998" t="b">
        <v>0</v>
      </c>
      <c r="R251" s="998" t="b">
        <v>0</v>
      </c>
      <c r="S251" s="1001" t="b">
        <v>0</v>
      </c>
      <c r="U251" s="1008" cm="1">
        <f t="array" ref="U251">SUM(--Q251:S251)</f>
        <v>0</v>
      </c>
    </row>
    <row r="252" spans="2:21" ht="18" customHeight="1">
      <c r="B252" s="551">
        <v>3</v>
      </c>
      <c r="C252" s="1593" t="s">
        <v>512</v>
      </c>
      <c r="D252" s="1593"/>
      <c r="E252" s="1593"/>
      <c r="F252" s="1593"/>
      <c r="G252" s="1593"/>
      <c r="H252" s="1594"/>
      <c r="I252" s="606" t="b">
        <v>0</v>
      </c>
      <c r="M252" s="1986" t="s">
        <v>967</v>
      </c>
      <c r="N252" s="1336"/>
      <c r="O252" s="1336"/>
      <c r="P252" s="1336"/>
      <c r="Q252" s="998" t="b">
        <v>0</v>
      </c>
      <c r="R252" s="998" t="b">
        <v>0</v>
      </c>
      <c r="S252" s="1001" t="b">
        <v>0</v>
      </c>
      <c r="U252" s="1008" cm="1">
        <f t="array" ref="U252">SUM(--Q252:S252)</f>
        <v>0</v>
      </c>
    </row>
    <row r="253" spans="2:21" ht="18" customHeight="1">
      <c r="B253" s="1565">
        <v>4</v>
      </c>
      <c r="C253" s="1569" t="s">
        <v>513</v>
      </c>
      <c r="D253" s="1570"/>
      <c r="E253" s="1570"/>
      <c r="F253" s="1570"/>
      <c r="G253" s="1570"/>
      <c r="H253" s="1570"/>
      <c r="I253" s="606" t="b">
        <v>0</v>
      </c>
      <c r="M253" s="1986" t="s">
        <v>968</v>
      </c>
      <c r="N253" s="1336"/>
      <c r="O253" s="1336"/>
      <c r="P253" s="1336"/>
      <c r="Q253" s="998" t="b">
        <v>0</v>
      </c>
      <c r="R253" s="998" t="b">
        <v>0</v>
      </c>
      <c r="S253" s="1001" t="b">
        <v>0</v>
      </c>
      <c r="U253" s="1008" cm="1">
        <f t="array" ref="U253">SUM(--Q253:S253)</f>
        <v>0</v>
      </c>
    </row>
    <row r="254" spans="2:21" ht="18" customHeight="1">
      <c r="B254" s="1566"/>
      <c r="C254" s="1571"/>
      <c r="D254" s="1572"/>
      <c r="E254" s="1572"/>
      <c r="F254" s="1572"/>
      <c r="G254" s="1572"/>
      <c r="H254" s="1572"/>
      <c r="I254" s="606" t="b">
        <v>0</v>
      </c>
      <c r="M254" s="1986" t="s">
        <v>969</v>
      </c>
      <c r="N254" s="1336"/>
      <c r="O254" s="1336"/>
      <c r="P254" s="1336"/>
      <c r="Q254" s="998" t="b">
        <v>0</v>
      </c>
      <c r="R254" s="998" t="b">
        <v>0</v>
      </c>
      <c r="S254" s="1001" t="b">
        <v>0</v>
      </c>
      <c r="U254" s="1008" cm="1">
        <f t="array" ref="U254">SUM(--Q254:S254)</f>
        <v>0</v>
      </c>
    </row>
    <row r="255" spans="2:21" ht="18" customHeight="1">
      <c r="B255" s="551">
        <v>5</v>
      </c>
      <c r="C255" s="1593" t="s">
        <v>514</v>
      </c>
      <c r="D255" s="1593"/>
      <c r="E255" s="1593"/>
      <c r="F255" s="1593"/>
      <c r="G255" s="1593"/>
      <c r="H255" s="1594"/>
      <c r="I255" s="606" t="b">
        <v>0</v>
      </c>
      <c r="M255" s="1990" t="s">
        <v>970</v>
      </c>
      <c r="N255" s="1331"/>
      <c r="O255" s="1331"/>
      <c r="P255" s="1331"/>
      <c r="Q255" s="1002" t="b">
        <v>0</v>
      </c>
      <c r="R255" s="1002" t="b">
        <v>0</v>
      </c>
      <c r="S255" s="1003" t="b">
        <v>0</v>
      </c>
      <c r="U255" s="1009" cm="1">
        <f t="array" ref="U255">SUM(--Q255:S255)</f>
        <v>0</v>
      </c>
    </row>
    <row r="256" spans="2:21" ht="18" customHeight="1">
      <c r="B256" s="552">
        <v>6</v>
      </c>
      <c r="C256" s="1595" t="s">
        <v>515</v>
      </c>
      <c r="D256" s="1595"/>
      <c r="E256" s="1595"/>
      <c r="F256" s="1595"/>
      <c r="G256" s="1595"/>
      <c r="H256" s="1650"/>
      <c r="I256" s="606" t="b">
        <v>0</v>
      </c>
      <c r="O256" s="997"/>
      <c r="P256" s="997"/>
    </row>
    <row r="257" spans="2:21" ht="18" customHeight="1">
      <c r="B257" s="532"/>
      <c r="C257" s="543"/>
      <c r="D257" s="543"/>
      <c r="E257" s="543"/>
      <c r="F257" s="543"/>
      <c r="G257" s="543"/>
      <c r="H257" s="543"/>
      <c r="I257" s="543"/>
      <c r="M257" s="1987" t="s">
        <v>971</v>
      </c>
      <c r="N257" s="1988"/>
      <c r="O257" s="1988"/>
      <c r="P257" s="1989"/>
      <c r="Q257" s="1004"/>
      <c r="R257" s="1004"/>
      <c r="S257" s="1005"/>
    </row>
    <row r="258" spans="2:21" ht="18" customHeight="1">
      <c r="B258" s="537" t="s">
        <v>331</v>
      </c>
      <c r="C258" s="426" t="s">
        <v>506</v>
      </c>
      <c r="D258" s="544"/>
      <c r="E258" s="544"/>
      <c r="F258" s="544"/>
      <c r="G258" s="545"/>
      <c r="H258" s="545"/>
      <c r="I258" s="534" cm="1">
        <f t="array" ref="I258">SUM(--(I260:I261))</f>
        <v>0</v>
      </c>
      <c r="M258" s="1986" t="s">
        <v>972</v>
      </c>
      <c r="N258" s="1336"/>
      <c r="O258" s="1336"/>
      <c r="P258" s="1336"/>
      <c r="Q258" s="998" t="b">
        <v>0</v>
      </c>
      <c r="R258" s="998" t="b">
        <v>0</v>
      </c>
      <c r="S258" s="1001" t="b">
        <v>0</v>
      </c>
      <c r="U258" s="1007" cm="1">
        <f t="array" ref="U258">SUM(--Q258:S258)</f>
        <v>0</v>
      </c>
    </row>
    <row r="259" spans="2:21" ht="18" customHeight="1">
      <c r="B259" s="528"/>
      <c r="C259" s="536"/>
      <c r="D259" s="536"/>
      <c r="E259" s="536"/>
      <c r="F259" s="536"/>
      <c r="G259" s="536"/>
      <c r="H259" s="536"/>
      <c r="I259" s="536"/>
      <c r="M259" s="1986" t="s">
        <v>1030</v>
      </c>
      <c r="N259" s="1336"/>
      <c r="O259" s="1336"/>
      <c r="P259" s="1336"/>
      <c r="Q259" s="998" t="b">
        <v>0</v>
      </c>
      <c r="R259" s="998" t="b">
        <v>0</v>
      </c>
      <c r="S259" s="1001" t="b">
        <v>0</v>
      </c>
      <c r="U259" s="1008" cm="1">
        <f t="array" ref="U259">SUM(--Q259:S259)</f>
        <v>0</v>
      </c>
    </row>
    <row r="260" spans="2:21" ht="18" customHeight="1">
      <c r="B260" s="547">
        <v>1</v>
      </c>
      <c r="C260" s="1608" t="s">
        <v>516</v>
      </c>
      <c r="D260" s="1608"/>
      <c r="E260" s="1608"/>
      <c r="F260" s="1608"/>
      <c r="G260" s="1608"/>
      <c r="H260" s="1609"/>
      <c r="I260" s="606" t="b">
        <v>0</v>
      </c>
      <c r="M260" s="1986" t="s">
        <v>974</v>
      </c>
      <c r="N260" s="1336"/>
      <c r="O260" s="1336"/>
      <c r="P260" s="1336"/>
      <c r="Q260" s="998" t="b">
        <v>0</v>
      </c>
      <c r="R260" s="998" t="b">
        <v>0</v>
      </c>
      <c r="S260" s="1001" t="b">
        <v>0</v>
      </c>
      <c r="U260" s="1008" cm="1">
        <f t="array" ref="U260">SUM(--Q260:S260)</f>
        <v>0</v>
      </c>
    </row>
    <row r="261" spans="2:21" ht="18" customHeight="1">
      <c r="B261" s="552">
        <v>2</v>
      </c>
      <c r="C261" s="1595" t="s">
        <v>517</v>
      </c>
      <c r="D261" s="1595"/>
      <c r="E261" s="1595"/>
      <c r="F261" s="1595"/>
      <c r="G261" s="1595"/>
      <c r="H261" s="1650"/>
      <c r="I261" s="606" t="b">
        <v>0</v>
      </c>
      <c r="M261" s="1986" t="s">
        <v>975</v>
      </c>
      <c r="N261" s="1336"/>
      <c r="O261" s="1336"/>
      <c r="P261" s="1336"/>
      <c r="Q261" s="998" t="b">
        <v>0</v>
      </c>
      <c r="R261" s="998" t="b">
        <v>0</v>
      </c>
      <c r="S261" s="1001" t="b">
        <v>0</v>
      </c>
      <c r="U261" s="1008" cm="1">
        <f t="array" ref="U261">SUM(--Q261:S261)</f>
        <v>0</v>
      </c>
    </row>
    <row r="262" spans="2:21" ht="18" customHeight="1">
      <c r="B262" s="374"/>
      <c r="C262" s="543"/>
      <c r="D262" s="543"/>
      <c r="E262" s="543"/>
      <c r="F262" s="543"/>
      <c r="G262" s="543"/>
      <c r="H262" s="543"/>
      <c r="I262" s="543"/>
      <c r="M262" s="1990" t="s">
        <v>973</v>
      </c>
      <c r="N262" s="1331"/>
      <c r="O262" s="1331"/>
      <c r="P262" s="1331"/>
      <c r="Q262" s="1002" t="b">
        <v>0</v>
      </c>
      <c r="R262" s="1002" t="b">
        <v>0</v>
      </c>
      <c r="S262" s="1003" t="b">
        <v>0</v>
      </c>
      <c r="U262" s="1009" cm="1">
        <f t="array" ref="U262">SUM(--Q262:S262)</f>
        <v>0</v>
      </c>
    </row>
    <row r="263" spans="2:21" ht="18" customHeight="1">
      <c r="B263" s="537" t="s">
        <v>336</v>
      </c>
      <c r="C263" s="426" t="s">
        <v>356</v>
      </c>
      <c r="D263" s="544"/>
      <c r="E263" s="544"/>
      <c r="F263" s="544"/>
      <c r="G263" s="545"/>
      <c r="H263" s="545"/>
      <c r="I263" s="534" cm="1">
        <f t="array" ref="I263">SUM(--(I265:I268))</f>
        <v>0</v>
      </c>
      <c r="M263" s="840"/>
      <c r="N263" s="997"/>
      <c r="O263" s="997"/>
      <c r="P263" s="997"/>
    </row>
    <row r="264" spans="2:21" ht="18" customHeight="1">
      <c r="B264" s="528"/>
      <c r="C264" s="536"/>
      <c r="D264" s="536"/>
      <c r="E264" s="536"/>
      <c r="F264" s="536"/>
      <c r="G264" s="536"/>
      <c r="H264" s="536"/>
      <c r="I264" s="536"/>
      <c r="M264" s="1987" t="s">
        <v>976</v>
      </c>
      <c r="N264" s="1988"/>
      <c r="O264" s="1988"/>
      <c r="P264" s="1989"/>
      <c r="Q264" s="1004"/>
      <c r="R264" s="1004"/>
      <c r="S264" s="1005"/>
    </row>
    <row r="265" spans="2:21" ht="18" customHeight="1">
      <c r="B265" s="547">
        <v>1</v>
      </c>
      <c r="C265" s="1608" t="s">
        <v>518</v>
      </c>
      <c r="D265" s="1608"/>
      <c r="E265" s="1608"/>
      <c r="F265" s="1608"/>
      <c r="G265" s="1608"/>
      <c r="H265" s="1609"/>
      <c r="I265" s="606" t="b">
        <v>0</v>
      </c>
      <c r="M265" s="1986" t="s">
        <v>977</v>
      </c>
      <c r="N265" s="1336"/>
      <c r="O265" s="1336"/>
      <c r="P265" s="1336"/>
      <c r="Q265" s="998" t="b">
        <v>0</v>
      </c>
      <c r="R265" s="998" t="b">
        <v>0</v>
      </c>
      <c r="S265" s="1001" t="b">
        <v>0</v>
      </c>
      <c r="U265" s="1007" cm="1">
        <f t="array" ref="U265">SUM(--Q265:S265)</f>
        <v>0</v>
      </c>
    </row>
    <row r="266" spans="2:21" ht="18" customHeight="1">
      <c r="B266" s="554" t="s">
        <v>362</v>
      </c>
      <c r="C266" s="1593" t="s">
        <v>519</v>
      </c>
      <c r="D266" s="1593"/>
      <c r="E266" s="1593"/>
      <c r="F266" s="1593"/>
      <c r="G266" s="1593"/>
      <c r="H266" s="1594"/>
      <c r="I266" s="606" t="b">
        <v>0</v>
      </c>
      <c r="M266" s="1986" t="s">
        <v>978</v>
      </c>
      <c r="N266" s="1336"/>
      <c r="O266" s="1336"/>
      <c r="P266" s="1336"/>
      <c r="Q266" s="998" t="b">
        <v>0</v>
      </c>
      <c r="R266" s="998" t="b">
        <v>0</v>
      </c>
      <c r="S266" s="1001" t="b">
        <v>0</v>
      </c>
      <c r="U266" s="1008" cm="1">
        <f t="array" ref="U266">SUM(--Q266:S266)</f>
        <v>0</v>
      </c>
    </row>
    <row r="267" spans="2:21" ht="18" customHeight="1">
      <c r="B267" s="551" t="s">
        <v>363</v>
      </c>
      <c r="C267" s="1593" t="s">
        <v>520</v>
      </c>
      <c r="D267" s="1593"/>
      <c r="E267" s="1593"/>
      <c r="F267" s="1593"/>
      <c r="G267" s="1593"/>
      <c r="H267" s="1594"/>
      <c r="I267" s="606" t="b">
        <v>0</v>
      </c>
      <c r="M267" s="1990" t="s">
        <v>979</v>
      </c>
      <c r="N267" s="1331"/>
      <c r="O267" s="1331"/>
      <c r="P267" s="1331"/>
      <c r="Q267" s="1002" t="b">
        <v>0</v>
      </c>
      <c r="R267" s="1002" t="b">
        <v>0</v>
      </c>
      <c r="S267" s="1003" t="b">
        <v>0</v>
      </c>
      <c r="U267" s="1009" cm="1">
        <f t="array" ref="U267">SUM(--Q267:S267)</f>
        <v>0</v>
      </c>
    </row>
    <row r="268" spans="2:21" ht="18" customHeight="1">
      <c r="B268" s="552">
        <v>3</v>
      </c>
      <c r="C268" s="1595" t="s">
        <v>521</v>
      </c>
      <c r="D268" s="1595"/>
      <c r="E268" s="1595"/>
      <c r="F268" s="1595"/>
      <c r="G268" s="1595"/>
      <c r="H268" s="1650"/>
      <c r="I268" s="606" t="b">
        <v>0</v>
      </c>
      <c r="O268" s="997"/>
      <c r="P268" s="997"/>
    </row>
    <row r="269" spans="2:21" ht="18" customHeight="1">
      <c r="B269" s="532"/>
      <c r="C269" s="543"/>
      <c r="D269" s="543"/>
      <c r="E269" s="543"/>
      <c r="F269" s="543"/>
      <c r="G269" s="543"/>
      <c r="H269" s="543"/>
      <c r="I269" s="543"/>
      <c r="M269" s="1987" t="s">
        <v>980</v>
      </c>
      <c r="N269" s="1988"/>
      <c r="O269" s="1988"/>
      <c r="P269" s="1989"/>
      <c r="Q269" s="1004"/>
      <c r="R269" s="1004"/>
      <c r="S269" s="1005"/>
    </row>
    <row r="270" spans="2:21" ht="18" customHeight="1">
      <c r="B270" s="537" t="s">
        <v>339</v>
      </c>
      <c r="C270" s="426" t="s">
        <v>507</v>
      </c>
      <c r="D270" s="544"/>
      <c r="E270" s="544"/>
      <c r="F270" s="544"/>
      <c r="G270" s="545"/>
      <c r="H270" s="545"/>
      <c r="I270" s="534" cm="1">
        <f t="array" ref="I270">SUM(--(I272:I275))</f>
        <v>0</v>
      </c>
      <c r="M270" s="1986" t="s">
        <v>981</v>
      </c>
      <c r="N270" s="1336"/>
      <c r="O270" s="1336"/>
      <c r="P270" s="1336"/>
      <c r="Q270" s="998" t="b">
        <v>0</v>
      </c>
      <c r="R270" s="998" t="b">
        <v>0</v>
      </c>
      <c r="S270" s="1001" t="b">
        <v>0</v>
      </c>
      <c r="U270" s="1007" cm="1">
        <f t="array" ref="U270">SUM(--Q270:S270)</f>
        <v>0</v>
      </c>
    </row>
    <row r="271" spans="2:21" ht="18" customHeight="1">
      <c r="B271" s="528"/>
      <c r="C271" s="536"/>
      <c r="D271" s="536"/>
      <c r="E271" s="536"/>
      <c r="F271" s="536"/>
      <c r="G271" s="536"/>
      <c r="H271" s="536"/>
      <c r="I271" s="536"/>
      <c r="M271" s="1986" t="s">
        <v>982</v>
      </c>
      <c r="N271" s="1336"/>
      <c r="O271" s="1336"/>
      <c r="P271" s="1336"/>
      <c r="Q271" s="998" t="b">
        <v>0</v>
      </c>
      <c r="R271" s="998" t="b">
        <v>0</v>
      </c>
      <c r="S271" s="1001" t="b">
        <v>0</v>
      </c>
      <c r="U271" s="1008" cm="1">
        <f t="array" ref="U271">SUM(--Q271:S271)</f>
        <v>0</v>
      </c>
    </row>
    <row r="272" spans="2:21" ht="18" customHeight="1">
      <c r="B272" s="547">
        <v>1</v>
      </c>
      <c r="C272" s="1608" t="s">
        <v>522</v>
      </c>
      <c r="D272" s="1608"/>
      <c r="E272" s="1608"/>
      <c r="F272" s="1608"/>
      <c r="G272" s="1608"/>
      <c r="H272" s="1609"/>
      <c r="I272" s="606" t="b">
        <v>0</v>
      </c>
      <c r="M272" s="1986" t="s">
        <v>983</v>
      </c>
      <c r="N272" s="1336"/>
      <c r="O272" s="1336"/>
      <c r="P272" s="1336"/>
      <c r="Q272" s="998" t="b">
        <v>0</v>
      </c>
      <c r="R272" s="998" t="b">
        <v>0</v>
      </c>
      <c r="S272" s="1001" t="b">
        <v>0</v>
      </c>
      <c r="U272" s="1008" cm="1">
        <f t="array" ref="U272">SUM(--Q272:S272)</f>
        <v>0</v>
      </c>
    </row>
    <row r="273" spans="2:21" ht="18" customHeight="1">
      <c r="B273" s="551">
        <v>2</v>
      </c>
      <c r="C273" s="1593" t="s">
        <v>523</v>
      </c>
      <c r="D273" s="1593"/>
      <c r="E273" s="1593"/>
      <c r="F273" s="1593"/>
      <c r="G273" s="1593"/>
      <c r="H273" s="1594"/>
      <c r="I273" s="606" t="b">
        <v>0</v>
      </c>
      <c r="M273" s="1986" t="s">
        <v>984</v>
      </c>
      <c r="N273" s="1336"/>
      <c r="O273" s="1336"/>
      <c r="P273" s="1336"/>
      <c r="Q273" s="998" t="b">
        <v>0</v>
      </c>
      <c r="R273" s="998" t="b">
        <v>0</v>
      </c>
      <c r="S273" s="1001" t="b">
        <v>0</v>
      </c>
      <c r="U273" s="1008" cm="1">
        <f t="array" ref="U273">SUM(--Q273:S273)</f>
        <v>0</v>
      </c>
    </row>
    <row r="274" spans="2:21" ht="18" customHeight="1">
      <c r="B274" s="551">
        <v>3</v>
      </c>
      <c r="C274" s="1593" t="s">
        <v>524</v>
      </c>
      <c r="D274" s="1593"/>
      <c r="E274" s="1593"/>
      <c r="F274" s="1593"/>
      <c r="G274" s="1593"/>
      <c r="H274" s="1594"/>
      <c r="I274" s="606" t="b">
        <v>0</v>
      </c>
      <c r="M274" s="1986" t="s">
        <v>985</v>
      </c>
      <c r="N274" s="1336"/>
      <c r="O274" s="1336"/>
      <c r="P274" s="1336"/>
      <c r="Q274" s="998" t="b">
        <v>0</v>
      </c>
      <c r="R274" s="998" t="b">
        <v>0</v>
      </c>
      <c r="S274" s="1001" t="b">
        <v>0</v>
      </c>
      <c r="U274" s="1008" cm="1">
        <f t="array" ref="U274">SUM(--Q274:S274)</f>
        <v>0</v>
      </c>
    </row>
    <row r="275" spans="2:21" ht="18" customHeight="1">
      <c r="B275" s="552">
        <v>4</v>
      </c>
      <c r="C275" s="1595" t="s">
        <v>525</v>
      </c>
      <c r="D275" s="1595"/>
      <c r="E275" s="1595"/>
      <c r="F275" s="1595"/>
      <c r="G275" s="1595"/>
      <c r="H275" s="1650"/>
      <c r="I275" s="606" t="b">
        <v>0</v>
      </c>
      <c r="M275" s="1986" t="s">
        <v>986</v>
      </c>
      <c r="N275" s="1336"/>
      <c r="O275" s="1336"/>
      <c r="P275" s="1336"/>
      <c r="Q275" s="998" t="b">
        <v>0</v>
      </c>
      <c r="R275" s="998" t="b">
        <v>0</v>
      </c>
      <c r="S275" s="1001" t="b">
        <v>0</v>
      </c>
      <c r="U275" s="1008" cm="1">
        <f t="array" ref="U275">SUM(--Q275:S275)</f>
        <v>0</v>
      </c>
    </row>
    <row r="276" spans="2:21" ht="18" customHeight="1">
      <c r="B276" s="532"/>
      <c r="C276" s="543"/>
      <c r="D276" s="543"/>
      <c r="E276" s="543"/>
      <c r="F276" s="543"/>
      <c r="G276" s="543"/>
      <c r="H276" s="543"/>
      <c r="I276" s="543"/>
      <c r="M276" s="1990" t="s">
        <v>987</v>
      </c>
      <c r="N276" s="1331"/>
      <c r="O276" s="1331"/>
      <c r="P276" s="1331"/>
      <c r="Q276" s="1002" t="b">
        <v>0</v>
      </c>
      <c r="R276" s="1002" t="b">
        <v>0</v>
      </c>
      <c r="S276" s="1003" t="b">
        <v>0</v>
      </c>
      <c r="U276" s="1009" cm="1">
        <f t="array" ref="U276">SUM(--Q276:S276)</f>
        <v>0</v>
      </c>
    </row>
    <row r="277" spans="2:21" ht="18" customHeight="1">
      <c r="B277" s="537" t="s">
        <v>346</v>
      </c>
      <c r="C277" s="426" t="s">
        <v>508</v>
      </c>
      <c r="D277" s="544"/>
      <c r="E277" s="544"/>
      <c r="F277" s="544"/>
      <c r="G277" s="545"/>
      <c r="H277" s="545"/>
      <c r="I277" s="534" cm="1">
        <f t="array" ref="I277">SUM(--(I279:I280))</f>
        <v>0</v>
      </c>
    </row>
    <row r="278" spans="2:21" ht="18" customHeight="1">
      <c r="B278" s="390"/>
      <c r="C278" s="536"/>
      <c r="D278" s="536"/>
      <c r="E278" s="536"/>
      <c r="F278" s="536"/>
      <c r="G278" s="536"/>
      <c r="H278" s="536"/>
      <c r="I278" s="536"/>
    </row>
    <row r="279" spans="2:21" ht="18" customHeight="1">
      <c r="B279" s="547">
        <v>1</v>
      </c>
      <c r="C279" s="1608" t="s">
        <v>526</v>
      </c>
      <c r="D279" s="1608"/>
      <c r="E279" s="1608"/>
      <c r="F279" s="1608"/>
      <c r="G279" s="1608"/>
      <c r="H279" s="1609"/>
      <c r="I279" s="606" t="b">
        <v>0</v>
      </c>
    </row>
    <row r="280" spans="2:21" ht="18" customHeight="1">
      <c r="B280" s="552">
        <v>2</v>
      </c>
      <c r="C280" s="1595" t="s">
        <v>595</v>
      </c>
      <c r="D280" s="1595"/>
      <c r="E280" s="1595"/>
      <c r="F280" s="1595"/>
      <c r="G280" s="1595"/>
      <c r="H280" s="1650"/>
      <c r="I280" s="606" t="b">
        <v>0</v>
      </c>
      <c r="M280" s="1987" t="s">
        <v>988</v>
      </c>
      <c r="N280" s="1988"/>
      <c r="O280" s="1988"/>
      <c r="P280" s="1989"/>
      <c r="Q280" s="1004"/>
      <c r="R280" s="1004"/>
      <c r="S280" s="1005"/>
    </row>
    <row r="281" spans="2:21" ht="18" customHeight="1">
      <c r="B281" s="532"/>
      <c r="C281" s="543"/>
      <c r="D281" s="543"/>
      <c r="E281" s="543"/>
      <c r="F281" s="543"/>
      <c r="G281" s="543"/>
      <c r="H281" s="543"/>
      <c r="I281" s="543"/>
      <c r="M281" s="1986" t="s">
        <v>989</v>
      </c>
      <c r="N281" s="1336"/>
      <c r="O281" s="1336"/>
      <c r="P281" s="1336"/>
      <c r="Q281" s="998" t="b">
        <v>0</v>
      </c>
      <c r="R281" s="998" t="b">
        <v>0</v>
      </c>
      <c r="S281" s="1001" t="b">
        <v>0</v>
      </c>
      <c r="U281" s="1007" cm="1">
        <f t="array" ref="U281">SUM(--Q281:S281)</f>
        <v>0</v>
      </c>
    </row>
    <row r="282" spans="2:21" ht="18" customHeight="1">
      <c r="B282" s="537" t="s">
        <v>350</v>
      </c>
      <c r="C282" s="426" t="s">
        <v>509</v>
      </c>
      <c r="D282" s="544"/>
      <c r="E282" s="544"/>
      <c r="F282" s="544"/>
      <c r="G282" s="545"/>
      <c r="H282" s="545"/>
      <c r="I282" s="534" cm="1">
        <f t="array" ref="I282">SUM(--(I284:I291))</f>
        <v>0</v>
      </c>
      <c r="M282" s="1986" t="s">
        <v>990</v>
      </c>
      <c r="N282" s="1336"/>
      <c r="O282" s="1336"/>
      <c r="P282" s="1336"/>
      <c r="Q282" s="998" t="b">
        <v>0</v>
      </c>
      <c r="R282" s="998" t="b">
        <v>0</v>
      </c>
      <c r="S282" s="1001" t="b">
        <v>0</v>
      </c>
      <c r="U282" s="1008" cm="1">
        <f t="array" ref="U282">SUM(--Q282:S282)</f>
        <v>0</v>
      </c>
    </row>
    <row r="283" spans="2:21" ht="18" customHeight="1">
      <c r="B283" s="390"/>
      <c r="C283" s="536"/>
      <c r="D283" s="536"/>
      <c r="E283" s="536"/>
      <c r="F283" s="536"/>
      <c r="G283" s="536"/>
      <c r="H283" s="536"/>
      <c r="I283" s="536"/>
      <c r="M283" s="1986" t="s">
        <v>991</v>
      </c>
      <c r="N283" s="1336"/>
      <c r="O283" s="1336"/>
      <c r="P283" s="1336"/>
      <c r="Q283" s="998" t="b">
        <v>0</v>
      </c>
      <c r="R283" s="998" t="b">
        <v>0</v>
      </c>
      <c r="S283" s="1001" t="b">
        <v>0</v>
      </c>
      <c r="U283" s="1008" cm="1">
        <f t="array" ref="U283">SUM(--Q283:S283)</f>
        <v>0</v>
      </c>
    </row>
    <row r="284" spans="2:21" ht="18" customHeight="1">
      <c r="B284" s="547">
        <v>1</v>
      </c>
      <c r="C284" s="1608" t="s">
        <v>527</v>
      </c>
      <c r="D284" s="1608"/>
      <c r="E284" s="1608"/>
      <c r="F284" s="1608"/>
      <c r="G284" s="1608"/>
      <c r="H284" s="1609"/>
      <c r="I284" s="606" t="b">
        <v>0</v>
      </c>
      <c r="M284" s="1986" t="s">
        <v>992</v>
      </c>
      <c r="N284" s="1336"/>
      <c r="O284" s="1336"/>
      <c r="P284" s="1336"/>
      <c r="Q284" s="998" t="b">
        <v>0</v>
      </c>
      <c r="R284" s="998" t="b">
        <v>0</v>
      </c>
      <c r="S284" s="1001" t="b">
        <v>0</v>
      </c>
      <c r="U284" s="1008" cm="1">
        <f t="array" ref="U284">SUM(--Q284:S284)</f>
        <v>0</v>
      </c>
    </row>
    <row r="285" spans="2:21" ht="18" customHeight="1">
      <c r="B285" s="1565">
        <v>2</v>
      </c>
      <c r="C285" s="1642" t="s">
        <v>528</v>
      </c>
      <c r="D285" s="1642"/>
      <c r="E285" s="1642"/>
      <c r="F285" s="1642"/>
      <c r="G285" s="1642"/>
      <c r="H285" s="1569"/>
      <c r="I285" s="606" t="b">
        <v>0</v>
      </c>
      <c r="M285" s="1986" t="s">
        <v>993</v>
      </c>
      <c r="N285" s="1336"/>
      <c r="O285" s="1336"/>
      <c r="P285" s="1336"/>
      <c r="Q285" s="998" t="b">
        <v>0</v>
      </c>
      <c r="R285" s="998" t="b">
        <v>0</v>
      </c>
      <c r="S285" s="1001" t="b">
        <v>0</v>
      </c>
      <c r="U285" s="1008" cm="1">
        <f t="array" ref="U285">SUM(--Q285:S285)</f>
        <v>0</v>
      </c>
    </row>
    <row r="286" spans="2:21" ht="18" customHeight="1">
      <c r="B286" s="1566"/>
      <c r="C286" s="1709" t="s">
        <v>529</v>
      </c>
      <c r="D286" s="1709"/>
      <c r="E286" s="1709"/>
      <c r="F286" s="1709"/>
      <c r="G286" s="1709"/>
      <c r="H286" s="1571"/>
      <c r="I286" s="606" t="b">
        <v>0</v>
      </c>
      <c r="M286" s="1990" t="s">
        <v>994</v>
      </c>
      <c r="N286" s="1331"/>
      <c r="O286" s="1331"/>
      <c r="P286" s="1331"/>
      <c r="Q286" s="1002" t="b">
        <v>0</v>
      </c>
      <c r="R286" s="1002" t="b">
        <v>0</v>
      </c>
      <c r="S286" s="1003" t="b">
        <v>0</v>
      </c>
      <c r="U286" s="1009" cm="1">
        <f t="array" ref="U286">SUM(--Q286:S286)</f>
        <v>0</v>
      </c>
    </row>
    <row r="287" spans="2:21" ht="18" customHeight="1">
      <c r="B287" s="551">
        <v>3</v>
      </c>
      <c r="C287" s="1593" t="s">
        <v>530</v>
      </c>
      <c r="D287" s="1593"/>
      <c r="E287" s="1593"/>
      <c r="F287" s="1593"/>
      <c r="G287" s="1593"/>
      <c r="H287" s="1594"/>
      <c r="I287" s="606" t="b">
        <v>0</v>
      </c>
      <c r="M287" s="997"/>
      <c r="N287" s="997"/>
      <c r="O287" s="997"/>
      <c r="P287" s="997"/>
    </row>
    <row r="288" spans="2:21" ht="18" customHeight="1">
      <c r="B288" s="551">
        <v>4</v>
      </c>
      <c r="C288" s="1593" t="s">
        <v>531</v>
      </c>
      <c r="D288" s="1593"/>
      <c r="E288" s="1593"/>
      <c r="F288" s="1593"/>
      <c r="G288" s="1593"/>
      <c r="H288" s="1594"/>
      <c r="I288" s="606" t="b">
        <v>0</v>
      </c>
      <c r="M288" s="1987" t="s">
        <v>995</v>
      </c>
      <c r="N288" s="1988"/>
      <c r="O288" s="1988"/>
      <c r="P288" s="1989"/>
      <c r="Q288" s="1004"/>
      <c r="R288" s="1004"/>
      <c r="S288" s="1005"/>
    </row>
    <row r="289" spans="2:21" ht="18" customHeight="1">
      <c r="B289" s="1565">
        <v>5</v>
      </c>
      <c r="C289" s="1642" t="s">
        <v>543</v>
      </c>
      <c r="D289" s="1642"/>
      <c r="E289" s="1642"/>
      <c r="F289" s="1642"/>
      <c r="G289" s="1642"/>
      <c r="H289" s="1569"/>
      <c r="I289" s="606" t="b">
        <v>0</v>
      </c>
      <c r="M289" s="1986" t="s">
        <v>996</v>
      </c>
      <c r="N289" s="1336"/>
      <c r="O289" s="1336"/>
      <c r="P289" s="1336"/>
      <c r="Q289" s="998" t="b">
        <v>0</v>
      </c>
      <c r="R289" s="998" t="b">
        <v>0</v>
      </c>
      <c r="S289" s="1001" t="b">
        <v>0</v>
      </c>
      <c r="U289" s="1007" cm="1">
        <f t="array" ref="U289">SUM(--Q289:S289)</f>
        <v>0</v>
      </c>
    </row>
    <row r="290" spans="2:21" ht="18" customHeight="1">
      <c r="B290" s="1566"/>
      <c r="C290" s="1709" t="s">
        <v>544</v>
      </c>
      <c r="D290" s="1709"/>
      <c r="E290" s="1709"/>
      <c r="F290" s="1709"/>
      <c r="G290" s="1709"/>
      <c r="H290" s="1571"/>
      <c r="I290" s="606" t="b">
        <v>0</v>
      </c>
      <c r="M290" s="1986" t="s">
        <v>997</v>
      </c>
      <c r="N290" s="1336"/>
      <c r="O290" s="1336"/>
      <c r="P290" s="1336"/>
      <c r="Q290" s="998" t="b">
        <v>0</v>
      </c>
      <c r="R290" s="998" t="b">
        <v>0</v>
      </c>
      <c r="S290" s="1001" t="b">
        <v>0</v>
      </c>
      <c r="U290" s="1008" cm="1">
        <f t="array" ref="U290">SUM(--Q290:S290)</f>
        <v>0</v>
      </c>
    </row>
    <row r="291" spans="2:21" ht="18" customHeight="1">
      <c r="B291" s="552">
        <v>6</v>
      </c>
      <c r="C291" s="1595" t="s">
        <v>532</v>
      </c>
      <c r="D291" s="1595"/>
      <c r="E291" s="1595"/>
      <c r="F291" s="1595"/>
      <c r="G291" s="1595"/>
      <c r="H291" s="1650"/>
      <c r="I291" s="606" t="b">
        <v>0</v>
      </c>
      <c r="M291" s="1990" t="s">
        <v>0</v>
      </c>
      <c r="N291" s="1331"/>
      <c r="O291" s="1331"/>
      <c r="P291" s="1331"/>
      <c r="Q291" s="1002" t="b">
        <v>0</v>
      </c>
      <c r="R291" s="1002" t="b">
        <v>0</v>
      </c>
      <c r="S291" s="1003" t="b">
        <v>0</v>
      </c>
      <c r="U291" s="1009" cm="1">
        <f t="array" ref="U291">SUM(--Q291:S291)</f>
        <v>0</v>
      </c>
    </row>
    <row r="292" spans="2:21" ht="18" customHeight="1">
      <c r="B292" s="532"/>
      <c r="C292" s="543"/>
      <c r="D292" s="543"/>
      <c r="E292" s="543"/>
      <c r="F292" s="543"/>
      <c r="G292" s="543"/>
      <c r="H292" s="543"/>
      <c r="I292" s="543"/>
    </row>
    <row r="293" spans="2:21" ht="18" customHeight="1">
      <c r="B293" s="537" t="s">
        <v>510</v>
      </c>
      <c r="C293" s="426" t="s">
        <v>511</v>
      </c>
      <c r="D293" s="544"/>
      <c r="E293" s="544"/>
      <c r="F293" s="544"/>
      <c r="G293" s="545"/>
      <c r="H293" s="545"/>
      <c r="I293" s="534" cm="1">
        <f t="array" ref="I293">SUM(--(I295:I320))</f>
        <v>0</v>
      </c>
      <c r="M293" s="1987" t="s">
        <v>998</v>
      </c>
      <c r="N293" s="1988"/>
      <c r="O293" s="1988"/>
      <c r="P293" s="1989"/>
      <c r="Q293" s="1004"/>
      <c r="R293" s="1004"/>
      <c r="S293" s="1005"/>
    </row>
    <row r="294" spans="2:21" ht="18" customHeight="1">
      <c r="B294" s="390"/>
      <c r="C294" s="536"/>
      <c r="D294" s="536"/>
      <c r="E294" s="536"/>
      <c r="F294" s="536"/>
      <c r="G294" s="536"/>
      <c r="H294" s="536"/>
      <c r="I294" s="536"/>
      <c r="M294" s="1990" t="s">
        <v>999</v>
      </c>
      <c r="N294" s="1331"/>
      <c r="O294" s="1331"/>
      <c r="P294" s="1331"/>
      <c r="Q294" s="1002" t="b">
        <v>0</v>
      </c>
      <c r="R294" s="1002" t="b">
        <v>0</v>
      </c>
      <c r="S294" s="1003" t="b">
        <v>0</v>
      </c>
      <c r="U294" s="1006" cm="1">
        <f t="array" ref="U294">SUM(--Q294:S294)</f>
        <v>0</v>
      </c>
    </row>
    <row r="295" spans="2:21" ht="18" customHeight="1">
      <c r="B295" s="547">
        <v>1</v>
      </c>
      <c r="C295" s="1608" t="s">
        <v>533</v>
      </c>
      <c r="D295" s="1608"/>
      <c r="E295" s="1608"/>
      <c r="F295" s="1608"/>
      <c r="G295" s="1608"/>
      <c r="H295" s="1609"/>
      <c r="I295" s="606" t="b">
        <v>0</v>
      </c>
    </row>
    <row r="296" spans="2:21" ht="18" customHeight="1">
      <c r="B296" s="1565">
        <v>2</v>
      </c>
      <c r="C296" s="1642" t="s">
        <v>545</v>
      </c>
      <c r="D296" s="1642"/>
      <c r="E296" s="1642"/>
      <c r="F296" s="1642"/>
      <c r="G296" s="1642"/>
      <c r="H296" s="1569"/>
      <c r="I296" s="1969" t="b">
        <v>0</v>
      </c>
      <c r="M296" s="1987" t="s">
        <v>1000</v>
      </c>
      <c r="N296" s="1988"/>
      <c r="O296" s="1988"/>
      <c r="P296" s="1989"/>
      <c r="Q296" s="1004"/>
      <c r="R296" s="1004"/>
      <c r="S296" s="1005"/>
    </row>
    <row r="297" spans="2:21" ht="18" customHeight="1">
      <c r="B297" s="1573"/>
      <c r="C297" s="1675" t="s">
        <v>596</v>
      </c>
      <c r="D297" s="1675"/>
      <c r="E297" s="1675"/>
      <c r="F297" s="1675"/>
      <c r="G297" s="1675"/>
      <c r="H297" s="1999"/>
      <c r="I297" s="1970"/>
      <c r="M297" s="999"/>
      <c r="S297" s="1000"/>
    </row>
    <row r="298" spans="2:21" ht="18" customHeight="1">
      <c r="B298"/>
      <c r="C298"/>
      <c r="D298"/>
      <c r="E298"/>
      <c r="F298"/>
      <c r="G298"/>
      <c r="H298"/>
      <c r="I298" s="608"/>
      <c r="M298" s="1986" t="s">
        <v>1001</v>
      </c>
      <c r="N298" s="1336"/>
      <c r="O298" s="1336"/>
      <c r="P298" s="1336"/>
      <c r="Q298" s="998" t="b">
        <v>0</v>
      </c>
      <c r="R298" s="998" t="b">
        <v>0</v>
      </c>
      <c r="S298" s="1001" t="b">
        <v>0</v>
      </c>
      <c r="U298" s="1007" cm="1">
        <f t="array" ref="U298">SUM(--Q298:S298)</f>
        <v>0</v>
      </c>
    </row>
    <row r="299" spans="2:21" ht="18" customHeight="1">
      <c r="B299" s="547">
        <v>3</v>
      </c>
      <c r="C299" s="1608" t="s">
        <v>20</v>
      </c>
      <c r="D299" s="1608"/>
      <c r="E299" s="1608"/>
      <c r="F299" s="1608"/>
      <c r="G299" s="1608"/>
      <c r="H299" s="1609"/>
      <c r="I299" s="606" t="b">
        <v>0</v>
      </c>
      <c r="M299" s="1986" t="s">
        <v>1002</v>
      </c>
      <c r="N299" s="1336"/>
      <c r="O299" s="1336"/>
      <c r="P299" s="1336"/>
      <c r="Q299" s="998" t="b">
        <v>0</v>
      </c>
      <c r="R299" s="998" t="b">
        <v>0</v>
      </c>
      <c r="S299" s="1001" t="b">
        <v>0</v>
      </c>
      <c r="U299" s="1008" cm="1">
        <f t="array" ref="U299">SUM(--Q299:S299)</f>
        <v>0</v>
      </c>
    </row>
    <row r="300" spans="2:21" ht="18" customHeight="1">
      <c r="B300" s="1565">
        <v>4</v>
      </c>
      <c r="C300" s="1569" t="s">
        <v>534</v>
      </c>
      <c r="D300" s="1570"/>
      <c r="E300" s="1570"/>
      <c r="F300" s="1570"/>
      <c r="G300" s="1570"/>
      <c r="H300" s="1570"/>
      <c r="I300" s="1969" t="b">
        <v>0</v>
      </c>
      <c r="M300" s="1986" t="s">
        <v>1003</v>
      </c>
      <c r="N300" s="1336"/>
      <c r="O300" s="1336"/>
      <c r="P300" s="1336"/>
      <c r="Q300" s="998" t="b">
        <v>0</v>
      </c>
      <c r="R300" s="998" t="b">
        <v>0</v>
      </c>
      <c r="S300" s="1001" t="b">
        <v>0</v>
      </c>
      <c r="U300" s="1008" cm="1">
        <f t="array" ref="U300">SUM(--Q300:S300)</f>
        <v>0</v>
      </c>
    </row>
    <row r="301" spans="2:21" ht="18" customHeight="1">
      <c r="B301" s="1607"/>
      <c r="C301" s="1639"/>
      <c r="D301" s="1340"/>
      <c r="E301" s="1340"/>
      <c r="F301" s="1340"/>
      <c r="G301" s="1340"/>
      <c r="H301" s="1340"/>
      <c r="I301" s="1971"/>
      <c r="M301" s="1986" t="s">
        <v>1004</v>
      </c>
      <c r="N301" s="1336"/>
      <c r="O301" s="1336"/>
      <c r="P301" s="1336"/>
      <c r="Q301" s="998" t="b">
        <v>0</v>
      </c>
      <c r="R301" s="998" t="b">
        <v>0</v>
      </c>
      <c r="S301" s="1001" t="b">
        <v>0</v>
      </c>
      <c r="U301" s="1008" cm="1">
        <f t="array" ref="U301">SUM(--Q301:S301)</f>
        <v>0</v>
      </c>
    </row>
    <row r="302" spans="2:21" ht="18" customHeight="1">
      <c r="B302" s="1607"/>
      <c r="C302" s="1639"/>
      <c r="D302" s="1340"/>
      <c r="E302" s="1340"/>
      <c r="F302" s="1340"/>
      <c r="G302" s="1340"/>
      <c r="H302" s="1340"/>
      <c r="I302" s="1971"/>
      <c r="M302" s="1990" t="s">
        <v>1005</v>
      </c>
      <c r="N302" s="1331"/>
      <c r="O302" s="1331"/>
      <c r="P302" s="1331"/>
      <c r="Q302" s="1002" t="b">
        <v>0</v>
      </c>
      <c r="R302" s="1002" t="b">
        <v>0</v>
      </c>
      <c r="S302" s="1003" t="b">
        <v>0</v>
      </c>
      <c r="U302" s="1009" cm="1">
        <f t="array" ref="U302">SUM(--Q302:S302)</f>
        <v>0</v>
      </c>
    </row>
    <row r="303" spans="2:21" ht="18" customHeight="1">
      <c r="B303" s="1607"/>
      <c r="C303" s="1639"/>
      <c r="D303" s="1340"/>
      <c r="E303" s="1340"/>
      <c r="F303" s="1340"/>
      <c r="G303" s="1340"/>
      <c r="H303" s="1340"/>
      <c r="I303" s="1971"/>
    </row>
    <row r="304" spans="2:21" ht="18" customHeight="1">
      <c r="B304" s="1566"/>
      <c r="C304" s="1571"/>
      <c r="D304" s="1572"/>
      <c r="E304" s="1572"/>
      <c r="F304" s="1572"/>
      <c r="G304" s="1572"/>
      <c r="H304" s="1572"/>
      <c r="I304" s="1970"/>
      <c r="M304" s="1987" t="s">
        <v>1006</v>
      </c>
      <c r="N304" s="1988"/>
      <c r="O304" s="1988"/>
      <c r="P304" s="1989"/>
      <c r="Q304" s="1004"/>
      <c r="R304" s="1004"/>
      <c r="S304" s="1005"/>
    </row>
    <row r="305" spans="2:21" ht="18" customHeight="1">
      <c r="B305" s="552">
        <v>5</v>
      </c>
      <c r="C305" s="1595" t="s">
        <v>535</v>
      </c>
      <c r="D305" s="1595"/>
      <c r="E305" s="1595"/>
      <c r="F305" s="1595"/>
      <c r="G305" s="1595"/>
      <c r="H305" s="1650"/>
      <c r="I305" s="606" t="b">
        <v>0</v>
      </c>
      <c r="M305" s="999"/>
      <c r="S305" s="1000"/>
    </row>
    <row r="306" spans="2:21" ht="18" customHeight="1">
      <c r="B306"/>
      <c r="C306"/>
      <c r="D306"/>
      <c r="E306"/>
      <c r="F306"/>
      <c r="G306"/>
      <c r="H306"/>
      <c r="M306" s="1986" t="s">
        <v>1007</v>
      </c>
      <c r="N306" s="1336"/>
      <c r="O306" s="1336"/>
      <c r="P306" s="1336"/>
      <c r="Q306" s="998" t="b">
        <v>0</v>
      </c>
      <c r="R306" s="998" t="b">
        <v>0</v>
      </c>
      <c r="S306" s="1001" t="b">
        <v>0</v>
      </c>
      <c r="U306" s="1007" cm="1">
        <f t="array" ref="U306">SUM(--Q306:S306)</f>
        <v>0</v>
      </c>
    </row>
    <row r="307" spans="2:21" ht="18" customHeight="1">
      <c r="B307" s="1682">
        <v>6</v>
      </c>
      <c r="C307" s="595"/>
      <c r="D307" s="596"/>
      <c r="E307" s="596"/>
      <c r="F307" s="596"/>
      <c r="G307" s="596"/>
      <c r="H307" s="596"/>
      <c r="I307" s="606" t="b">
        <v>0</v>
      </c>
      <c r="M307" s="1986" t="s">
        <v>1008</v>
      </c>
      <c r="N307" s="1336"/>
      <c r="O307" s="1336"/>
      <c r="P307" s="1336"/>
      <c r="Q307" s="998" t="b">
        <v>0</v>
      </c>
      <c r="R307" s="998" t="b">
        <v>0</v>
      </c>
      <c r="S307" s="1001" t="b">
        <v>0</v>
      </c>
      <c r="U307" s="1008" cm="1">
        <f t="array" ref="U307">SUM(--Q307:S307)</f>
        <v>0</v>
      </c>
    </row>
    <row r="308" spans="2:21" ht="18" customHeight="1">
      <c r="B308" s="1607"/>
      <c r="C308" s="1639" t="s">
        <v>536</v>
      </c>
      <c r="D308" s="1340"/>
      <c r="E308" s="1340"/>
      <c r="F308" s="1340"/>
      <c r="G308" s="1340"/>
      <c r="H308" s="1340"/>
      <c r="I308" s="1969" t="b">
        <v>0</v>
      </c>
      <c r="M308" s="1986" t="s">
        <v>1009</v>
      </c>
      <c r="N308" s="1336"/>
      <c r="O308" s="1336"/>
      <c r="P308" s="1336"/>
      <c r="Q308" s="998" t="b">
        <v>0</v>
      </c>
      <c r="R308" s="998" t="b">
        <v>0</v>
      </c>
      <c r="S308" s="1001" t="b">
        <v>0</v>
      </c>
      <c r="U308" s="1008" cm="1">
        <f t="array" ref="U308">SUM(--Q308:S308)</f>
        <v>0</v>
      </c>
    </row>
    <row r="309" spans="2:21" ht="18" customHeight="1">
      <c r="B309" s="1607"/>
      <c r="C309" s="1639"/>
      <c r="D309" s="1340"/>
      <c r="E309" s="1340"/>
      <c r="F309" s="1340"/>
      <c r="G309" s="1340"/>
      <c r="H309" s="1340"/>
      <c r="I309" s="1971"/>
      <c r="M309" s="1986" t="s">
        <v>1010</v>
      </c>
      <c r="N309" s="1336"/>
      <c r="O309" s="1336"/>
      <c r="P309" s="1336"/>
      <c r="Q309" s="998" t="b">
        <v>0</v>
      </c>
      <c r="R309" s="998" t="b">
        <v>0</v>
      </c>
      <c r="S309" s="1001" t="b">
        <v>0</v>
      </c>
      <c r="U309" s="1008" cm="1">
        <f t="array" ref="U309">SUM(--Q309:S309)</f>
        <v>0</v>
      </c>
    </row>
    <row r="310" spans="2:21" ht="18" customHeight="1">
      <c r="B310" s="1566"/>
      <c r="C310" s="587"/>
      <c r="D310" s="588"/>
      <c r="E310" s="588"/>
      <c r="F310" s="588"/>
      <c r="G310" s="588"/>
      <c r="H310" s="588"/>
      <c r="I310" s="1970"/>
      <c r="M310" s="1986" t="s">
        <v>1011</v>
      </c>
      <c r="N310" s="1336"/>
      <c r="O310" s="1336"/>
      <c r="P310" s="1336"/>
      <c r="Q310" s="998" t="b">
        <v>0</v>
      </c>
      <c r="R310" s="998" t="b">
        <v>0</v>
      </c>
      <c r="S310" s="1001" t="b">
        <v>0</v>
      </c>
      <c r="U310" s="1008" cm="1">
        <f t="array" ref="U310">SUM(--Q310:S310)</f>
        <v>0</v>
      </c>
    </row>
    <row r="311" spans="2:21" ht="18" customHeight="1">
      <c r="B311" s="1565">
        <v>7</v>
      </c>
      <c r="C311" s="1653" t="s">
        <v>602</v>
      </c>
      <c r="D311" s="1570"/>
      <c r="E311" s="1570"/>
      <c r="F311" s="1570"/>
      <c r="G311" s="1570"/>
      <c r="H311" s="1570"/>
      <c r="I311" s="1969" t="b">
        <v>0</v>
      </c>
      <c r="M311" s="1990" t="s">
        <v>1012</v>
      </c>
      <c r="N311" s="1331"/>
      <c r="O311" s="1331"/>
      <c r="P311" s="1331"/>
      <c r="Q311" s="1002" t="b">
        <v>0</v>
      </c>
      <c r="R311" s="1002" t="b">
        <v>0</v>
      </c>
      <c r="S311" s="1003" t="b">
        <v>0</v>
      </c>
      <c r="U311" s="1009" cm="1">
        <f t="array" ref="U311">SUM(--Q311:S311)</f>
        <v>0</v>
      </c>
    </row>
    <row r="312" spans="2:21" ht="18" customHeight="1">
      <c r="B312" s="1566"/>
      <c r="C312" s="1571"/>
      <c r="D312" s="1572"/>
      <c r="E312" s="1572"/>
      <c r="F312" s="1572"/>
      <c r="G312" s="1572"/>
      <c r="H312" s="1572"/>
      <c r="I312" s="1970"/>
    </row>
    <row r="313" spans="2:21" ht="18" customHeight="1">
      <c r="B313" s="1565">
        <v>8</v>
      </c>
      <c r="C313" s="1569" t="s">
        <v>537</v>
      </c>
      <c r="D313" s="1570"/>
      <c r="E313" s="1570"/>
      <c r="F313" s="1570"/>
      <c r="G313" s="1570"/>
      <c r="H313" s="586"/>
      <c r="I313" s="1969" t="b">
        <v>0</v>
      </c>
    </row>
    <row r="314" spans="2:21" ht="18" customHeight="1">
      <c r="B314" s="1566"/>
      <c r="C314" s="1571"/>
      <c r="D314" s="1572"/>
      <c r="E314" s="1572"/>
      <c r="F314" s="1572"/>
      <c r="G314" s="1572"/>
      <c r="H314" s="588"/>
      <c r="I314" s="1970"/>
    </row>
    <row r="315" spans="2:21" ht="18" customHeight="1">
      <c r="B315" s="551">
        <v>9</v>
      </c>
      <c r="C315" s="1593" t="s">
        <v>538</v>
      </c>
      <c r="D315" s="1593"/>
      <c r="E315" s="1593"/>
      <c r="F315" s="1593"/>
      <c r="G315" s="1593"/>
      <c r="H315" s="1594"/>
      <c r="I315" s="606" t="b">
        <v>0</v>
      </c>
    </row>
    <row r="316" spans="2:21" ht="18" customHeight="1">
      <c r="B316" s="551">
        <v>10</v>
      </c>
      <c r="C316" s="1593" t="s">
        <v>539</v>
      </c>
      <c r="D316" s="1593"/>
      <c r="E316" s="1593"/>
      <c r="F316" s="1593"/>
      <c r="G316" s="1593"/>
      <c r="H316" s="1594"/>
      <c r="I316" s="606" t="b">
        <v>0</v>
      </c>
    </row>
    <row r="317" spans="2:21" ht="18" customHeight="1">
      <c r="B317" s="576">
        <v>11</v>
      </c>
      <c r="C317" s="1642" t="s">
        <v>540</v>
      </c>
      <c r="D317" s="1642"/>
      <c r="E317" s="1642"/>
      <c r="F317" s="1642"/>
      <c r="G317" s="1642"/>
      <c r="H317" s="1569"/>
      <c r="I317" s="606" t="b">
        <v>0</v>
      </c>
    </row>
    <row r="318" spans="2:21" ht="18" customHeight="1">
      <c r="B318" s="1654">
        <v>12</v>
      </c>
      <c r="C318" s="1593" t="s">
        <v>541</v>
      </c>
      <c r="D318" s="1593"/>
      <c r="E318" s="1593"/>
      <c r="F318" s="1593"/>
      <c r="G318" s="1594"/>
      <c r="H318" s="586"/>
      <c r="I318" s="1969" t="b">
        <v>0</v>
      </c>
    </row>
    <row r="319" spans="2:21" ht="18" customHeight="1">
      <c r="B319" s="1654"/>
      <c r="C319" s="1593"/>
      <c r="D319" s="1593"/>
      <c r="E319" s="1593"/>
      <c r="F319" s="1593"/>
      <c r="G319" s="1594"/>
      <c r="H319" s="610"/>
      <c r="I319" s="1970"/>
    </row>
    <row r="320" spans="2:21" ht="18" customHeight="1">
      <c r="B320" s="552">
        <v>13</v>
      </c>
      <c r="C320" s="1595" t="s">
        <v>542</v>
      </c>
      <c r="D320" s="1595"/>
      <c r="E320" s="1595"/>
      <c r="F320" s="1595"/>
      <c r="G320" s="1650"/>
      <c r="H320" s="607"/>
      <c r="I320" s="606" t="b">
        <v>0</v>
      </c>
    </row>
    <row r="324" spans="1:27" s="4" customFormat="1" ht="18" customHeight="1">
      <c r="A324" s="8"/>
      <c r="B324" s="66" t="s">
        <v>838</v>
      </c>
    </row>
    <row r="326" spans="1:27" ht="18" customHeight="1">
      <c r="B326" s="2012" t="s">
        <v>839</v>
      </c>
      <c r="C326" s="2013"/>
      <c r="D326" s="78">
        <f>VA_ZUSAMMEN</f>
        <v>1</v>
      </c>
      <c r="E326"/>
      <c r="F326" s="2012" t="s">
        <v>840</v>
      </c>
      <c r="G326" s="2013"/>
      <c r="H326" s="78">
        <f>VA_KOSTENANALYSE</f>
        <v>1</v>
      </c>
      <c r="I326"/>
      <c r="J326"/>
      <c r="K326"/>
      <c r="L326"/>
      <c r="M326"/>
      <c r="N326"/>
      <c r="O326"/>
      <c r="P326"/>
      <c r="Q326"/>
      <c r="R326" s="2014" t="s">
        <v>841</v>
      </c>
      <c r="S326" s="2015"/>
      <c r="T326" s="952" t="s">
        <v>842</v>
      </c>
      <c r="U326" s="936" t="s">
        <v>843</v>
      </c>
      <c r="V326" s="936" t="s">
        <v>844</v>
      </c>
      <c r="W326" s="954" t="s">
        <v>845</v>
      </c>
      <c r="X326" s="952" t="s">
        <v>846</v>
      </c>
      <c r="Y326" s="936" t="s">
        <v>847</v>
      </c>
      <c r="Z326" s="936" t="s">
        <v>848</v>
      </c>
      <c r="AA326" s="954" t="s">
        <v>849</v>
      </c>
    </row>
    <row r="327" spans="1:27" ht="18" customHeight="1">
      <c r="B327" s="1"/>
      <c r="C327" s="1"/>
      <c r="D327" s="1"/>
      <c r="E327"/>
      <c r="F327" s="1"/>
      <c r="G327" s="1"/>
      <c r="H327" s="1"/>
      <c r="I327"/>
      <c r="J327"/>
      <c r="K327"/>
      <c r="L327"/>
      <c r="M327"/>
      <c r="N327"/>
      <c r="O327"/>
      <c r="P327"/>
      <c r="Q327"/>
      <c r="R327" s="2014" t="s">
        <v>850</v>
      </c>
      <c r="S327" s="2015"/>
      <c r="T327" s="953">
        <f>ROUNDUP(
R342*K332+
R343*K333+
R344*K334+
R345*K335+
R347*K332+
R348*K333+
R349*K334+
R350*K335,0)</f>
        <v>0</v>
      </c>
      <c r="U327" s="933">
        <f>ROUNDUP(
S342*K332+
S343*K333+
S344*K334+
S345*K335,0)</f>
        <v>0</v>
      </c>
      <c r="V327" s="933">
        <f>ROUNDUP(S346*K336,0)</f>
        <v>0</v>
      </c>
      <c r="W327" s="955">
        <f>ROUNDUP((
T342*K332+
T343*K333+
T344*K334+
T345*K335)*K337,0)</f>
        <v>0</v>
      </c>
      <c r="X327" s="953">
        <f>ROUNDUP(
W342*K332+
W343*K333+
W344*K334+
W345*K335+
W347*K332+
W348*K333+
W349*K334+
W350*K335,0)</f>
        <v>0</v>
      </c>
      <c r="Y327" s="933">
        <f>ROUNDUP(
X342*K332+
X343*K333+
X344*K334+
X345*K335,0)</f>
        <v>0</v>
      </c>
      <c r="Z327" s="933">
        <f>ROUNDUP(X346*K336,0)</f>
        <v>0</v>
      </c>
      <c r="AA327" s="955">
        <f>ROUNDUP((
Y342*K332+
Y343*K333+
Y344*K334+
Y345*K335)*K337,0)</f>
        <v>0</v>
      </c>
    </row>
    <row r="328" spans="1:27" ht="18" customHeight="1">
      <c r="B328" s="2012" t="s">
        <v>851</v>
      </c>
      <c r="C328" s="2013"/>
      <c r="D328" s="78">
        <f>VA_BESTANDSEINGABE</f>
        <v>0</v>
      </c>
      <c r="E328"/>
      <c r="F328" s="1"/>
      <c r="G328" s="1"/>
      <c r="H328" s="1"/>
      <c r="I328"/>
      <c r="J328"/>
      <c r="K328"/>
      <c r="L328"/>
      <c r="M328"/>
      <c r="N328"/>
      <c r="O328"/>
      <c r="P328"/>
      <c r="Q328"/>
      <c r="R328" s="2014" t="s">
        <v>852</v>
      </c>
      <c r="S328" s="2015"/>
      <c r="T328" s="953">
        <f>ROUNDUP(
R342*K332+
R343*K333+
R344*K334+
R345*K335+
R351*K332,0)</f>
        <v>0</v>
      </c>
      <c r="U328" s="933">
        <f>ROUNDUP(
S342*K332+
S343*K333+
S344*K334+
S345*K335,0)</f>
        <v>0</v>
      </c>
      <c r="V328" s="3"/>
      <c r="W328" s="957"/>
      <c r="X328" s="953">
        <f>ROUNDUP(
W342*K332+
W343*K333+
W344*K334+
W345*K335+
W351*K332,0)</f>
        <v>0</v>
      </c>
      <c r="Y328" s="933">
        <f>ROUNDUP(
X342*K332+
X343*K333+
X344*K334+
X345*K335,0)</f>
        <v>0</v>
      </c>
      <c r="Z328" s="3"/>
      <c r="AA328" s="957"/>
    </row>
    <row r="329" spans="1:27" ht="18" customHeight="1">
      <c r="B329" s="1"/>
      <c r="C329" s="1"/>
      <c r="D329" s="1"/>
      <c r="E329"/>
      <c r="F329" s="1"/>
      <c r="G329" s="1"/>
      <c r="H329" s="1"/>
      <c r="I329"/>
      <c r="J329"/>
      <c r="K329"/>
      <c r="L329"/>
      <c r="M329"/>
      <c r="N329"/>
      <c r="O329"/>
      <c r="P329"/>
      <c r="Q329"/>
      <c r="R329" s="2014" t="s">
        <v>853</v>
      </c>
      <c r="S329" s="2015"/>
      <c r="T329" s="953">
        <f>ROUNDUP(
R342*K332+
R343*K333+
R344*K334+
R345*K335+
R351*K332,0)</f>
        <v>0</v>
      </c>
      <c r="U329" s="933">
        <f>ROUNDUP(
S342*K332+
S343*K333+
S344*K334+
S345*K335,0)</f>
        <v>0</v>
      </c>
      <c r="V329" s="933">
        <f>ROUNDUP(S346*K336,0)</f>
        <v>0</v>
      </c>
      <c r="W329" s="960">
        <f>ROUNDUP((
T342*K332+
T343*K333+
T344*K334+
T345*K335)*K337,0)</f>
        <v>0</v>
      </c>
      <c r="X329" s="961">
        <f>ROUNDUP(
W342*K332+
W343*K333+
W344*K334+
W345*K335+
W351*K332,0)</f>
        <v>0</v>
      </c>
      <c r="Y329" s="933">
        <f>ROUNDUP(
X342*K332+
X343*K333+
X344*K334+
X345*K335,0)</f>
        <v>0</v>
      </c>
      <c r="Z329" s="933">
        <f>ROUNDUP(X346*K336,0)</f>
        <v>0</v>
      </c>
      <c r="AA329" s="955">
        <f>ROUNDUP((
Y342*K332+
Y343*K333+
Y344*K334+
Y345*K335)*K337,0)</f>
        <v>0</v>
      </c>
    </row>
    <row r="330" spans="1:27" ht="18" customHeight="1">
      <c r="B330"/>
      <c r="C330"/>
      <c r="D330"/>
      <c r="E330"/>
      <c r="F330"/>
      <c r="G330"/>
      <c r="H330"/>
      <c r="I330"/>
      <c r="J330"/>
      <c r="K330"/>
      <c r="L330"/>
      <c r="M330"/>
      <c r="N330"/>
      <c r="O330"/>
      <c r="P330"/>
      <c r="Q330"/>
      <c r="R330" s="2014" t="s">
        <v>854</v>
      </c>
      <c r="S330" s="2015"/>
      <c r="T330" s="959"/>
      <c r="U330" s="959"/>
      <c r="V330" s="958"/>
      <c r="W330" s="955">
        <f>IF(U342&gt;0,1,0)</f>
        <v>0</v>
      </c>
      <c r="X330" s="959"/>
      <c r="Y330" s="959"/>
      <c r="Z330" s="958"/>
      <c r="AA330" s="955">
        <f>IF(Z342&gt;0,1,0)</f>
        <v>0</v>
      </c>
    </row>
    <row r="331" spans="1:27" ht="18" customHeight="1">
      <c r="B331"/>
      <c r="C331"/>
      <c r="D331"/>
      <c r="E331"/>
      <c r="F331"/>
      <c r="G331"/>
      <c r="H331"/>
      <c r="I331"/>
      <c r="J331"/>
      <c r="K331"/>
      <c r="L331"/>
      <c r="M331"/>
      <c r="N331"/>
      <c r="O331"/>
      <c r="P331"/>
      <c r="Q331"/>
      <c r="R331"/>
      <c r="S331"/>
      <c r="T331"/>
      <c r="U331"/>
      <c r="V331"/>
      <c r="W331"/>
      <c r="X331"/>
      <c r="Y331"/>
      <c r="Z331"/>
      <c r="AA331"/>
    </row>
    <row r="332" spans="1:27" ht="18" customHeight="1">
      <c r="B332" s="1347" t="s">
        <v>5</v>
      </c>
      <c r="C332" s="1347"/>
      <c r="D332" s="1315" t="s">
        <v>821</v>
      </c>
      <c r="E332" s="1315"/>
      <c r="F332" s="1315"/>
      <c r="G332" s="1315"/>
      <c r="H332" s="1315"/>
      <c r="I332" s="1315"/>
      <c r="J332" s="1315"/>
      <c r="K332" s="956">
        <v>1.2</v>
      </c>
      <c r="L332" s="2019" t="s">
        <v>822</v>
      </c>
      <c r="M332" s="2020"/>
      <c r="N332" s="1316" t="s">
        <v>823</v>
      </c>
      <c r="O332" s="1316"/>
      <c r="P332" s="1316"/>
      <c r="Q332" s="1316"/>
      <c r="R332" s="1316"/>
      <c r="S332" s="2021"/>
      <c r="T332" s="2018"/>
      <c r="U332" s="2002">
        <f>ROUNDUP(4*SQRT(U327)*3,0)</f>
        <v>0</v>
      </c>
      <c r="V332" s="2002"/>
      <c r="W332" s="2006"/>
      <c r="X332" s="2007"/>
      <c r="Y332" s="2003">
        <f>ROUNDUP(4*SQRT(Y327)*3,0)</f>
        <v>0</v>
      </c>
      <c r="Z332" s="2003"/>
      <c r="AA332" s="2000"/>
    </row>
    <row r="333" spans="1:27" ht="18" customHeight="1">
      <c r="B333" s="1347" t="s">
        <v>824</v>
      </c>
      <c r="C333" s="1347"/>
      <c r="D333" s="1315" t="s">
        <v>897</v>
      </c>
      <c r="E333" s="1315"/>
      <c r="F333" s="1315"/>
      <c r="G333" s="1315"/>
      <c r="H333" s="1315"/>
      <c r="I333" s="1315"/>
      <c r="J333" s="1315"/>
      <c r="K333" s="956">
        <v>1.2</v>
      </c>
      <c r="L333" s="2024"/>
      <c r="M333" s="2025"/>
      <c r="N333" s="1355" t="s">
        <v>825</v>
      </c>
      <c r="O333" s="1355"/>
      <c r="P333" s="1355"/>
      <c r="Q333" s="1355"/>
      <c r="R333" s="1355"/>
      <c r="S333" s="2038"/>
      <c r="T333" s="2018"/>
      <c r="U333" s="2002"/>
      <c r="V333" s="2002"/>
      <c r="W333" s="2006"/>
      <c r="X333" s="2042"/>
      <c r="Y333" s="2004"/>
      <c r="Z333" s="2004"/>
      <c r="AA333" s="2016"/>
    </row>
    <row r="334" spans="1:27" ht="18" customHeight="1">
      <c r="B334" s="1347" t="s">
        <v>6</v>
      </c>
      <c r="C334" s="1347"/>
      <c r="D334" s="1315" t="s">
        <v>826</v>
      </c>
      <c r="E334" s="1315"/>
      <c r="F334" s="1315"/>
      <c r="G334" s="1315"/>
      <c r="H334" s="1315"/>
      <c r="I334" s="1315"/>
      <c r="J334" s="1315"/>
      <c r="K334" s="956">
        <v>0.9375</v>
      </c>
      <c r="L334" s="2009"/>
      <c r="M334" s="2010"/>
      <c r="N334" s="1356" t="s">
        <v>827</v>
      </c>
      <c r="O334" s="1356"/>
      <c r="P334" s="1356"/>
      <c r="Q334" s="1356"/>
      <c r="R334" s="1356"/>
      <c r="S334" s="2011"/>
      <c r="T334" s="2018"/>
      <c r="U334" s="2002"/>
      <c r="V334" s="2002"/>
      <c r="W334" s="2006"/>
      <c r="X334" s="2008"/>
      <c r="Y334" s="2005"/>
      <c r="Z334" s="2005"/>
      <c r="AA334" s="2001"/>
    </row>
    <row r="335" spans="1:27" ht="18" customHeight="1">
      <c r="B335" s="1347" t="s">
        <v>705</v>
      </c>
      <c r="C335" s="1347"/>
      <c r="D335" s="1315" t="s">
        <v>828</v>
      </c>
      <c r="E335" s="1315"/>
      <c r="F335" s="1315"/>
      <c r="G335" s="1315"/>
      <c r="H335" s="1315"/>
      <c r="I335" s="1315"/>
      <c r="J335" s="1315"/>
      <c r="K335" s="956">
        <v>3.125</v>
      </c>
      <c r="L335" s="2019" t="s">
        <v>829</v>
      </c>
      <c r="M335" s="2020"/>
      <c r="N335" s="1316" t="s">
        <v>830</v>
      </c>
      <c r="O335" s="1316"/>
      <c r="P335" s="1316"/>
      <c r="Q335" s="1316"/>
      <c r="R335" s="1316"/>
      <c r="S335" s="2021"/>
      <c r="T335" s="2018"/>
      <c r="U335" s="2002">
        <f>ROUNDUP(U327/80,0)</f>
        <v>0</v>
      </c>
      <c r="V335" s="2002"/>
      <c r="W335" s="2006"/>
      <c r="X335" s="2007"/>
      <c r="Y335" s="2003">
        <f>ROUNDUP(Y327/80,0)</f>
        <v>0</v>
      </c>
      <c r="Z335" s="2003"/>
      <c r="AA335" s="2000"/>
    </row>
    <row r="336" spans="1:27" ht="18" customHeight="1">
      <c r="B336" s="1347" t="s">
        <v>831</v>
      </c>
      <c r="C336" s="1347"/>
      <c r="D336" s="1315" t="s">
        <v>832</v>
      </c>
      <c r="E336" s="1315"/>
      <c r="F336" s="1315"/>
      <c r="G336" s="1315"/>
      <c r="H336" s="1315"/>
      <c r="I336" s="1315"/>
      <c r="J336" s="1315"/>
      <c r="K336" s="956">
        <v>3</v>
      </c>
      <c r="L336" s="2022" t="s">
        <v>833</v>
      </c>
      <c r="M336" s="2023"/>
      <c r="N336" s="1356" t="s">
        <v>834</v>
      </c>
      <c r="O336" s="1356"/>
      <c r="P336" s="1356"/>
      <c r="Q336" s="1356"/>
      <c r="R336" s="1356"/>
      <c r="S336" s="2011"/>
      <c r="T336" s="2018"/>
      <c r="U336" s="2002"/>
      <c r="V336" s="2002"/>
      <c r="W336" s="2006"/>
      <c r="X336" s="2008"/>
      <c r="Y336" s="2005"/>
      <c r="Z336" s="2005"/>
      <c r="AA336" s="2001"/>
    </row>
    <row r="337" spans="2:27" ht="18" customHeight="1">
      <c r="B337" s="1354" t="s">
        <v>15</v>
      </c>
      <c r="C337" s="1354"/>
      <c r="D337" s="1316" t="s">
        <v>898</v>
      </c>
      <c r="E337" s="1316"/>
      <c r="F337" s="1316"/>
      <c r="G337" s="1316"/>
      <c r="H337" s="1316"/>
      <c r="I337" s="1316"/>
      <c r="J337" s="1316"/>
      <c r="K337" s="2017">
        <v>1.25</v>
      </c>
      <c r="L337" s="2024"/>
      <c r="M337" s="2025"/>
      <c r="N337" s="1316" t="s">
        <v>835</v>
      </c>
      <c r="O337" s="1316"/>
      <c r="P337" s="1316"/>
      <c r="Q337" s="1316"/>
      <c r="R337" s="1316"/>
      <c r="S337" s="2021"/>
      <c r="T337" s="2018"/>
      <c r="U337" s="2002"/>
      <c r="V337" s="2002"/>
      <c r="W337" s="2006">
        <f>IF(W330=1,2,0)</f>
        <v>0</v>
      </c>
      <c r="X337" s="2007"/>
      <c r="Y337" s="2003"/>
      <c r="Z337" s="2003"/>
      <c r="AA337" s="2000">
        <f>IF(AA330=1,2,0)</f>
        <v>0</v>
      </c>
    </row>
    <row r="338" spans="2:27" ht="18" customHeight="1">
      <c r="B338" s="921"/>
      <c r="C338" s="922"/>
      <c r="D338" s="1356" t="s">
        <v>899</v>
      </c>
      <c r="E338" s="1356"/>
      <c r="F338" s="1356"/>
      <c r="G338" s="1356"/>
      <c r="H338" s="1356"/>
      <c r="I338" s="1356"/>
      <c r="J338" s="1356"/>
      <c r="K338" s="2017"/>
      <c r="L338" s="2009"/>
      <c r="M338" s="2010"/>
      <c r="N338" s="1356" t="s">
        <v>836</v>
      </c>
      <c r="O338" s="1356"/>
      <c r="P338" s="1356"/>
      <c r="Q338" s="1356"/>
      <c r="R338" s="1356"/>
      <c r="S338" s="2011"/>
      <c r="T338" s="2018"/>
      <c r="U338" s="2002"/>
      <c r="V338" s="2002"/>
      <c r="W338" s="2006"/>
      <c r="X338" s="2008"/>
      <c r="Y338" s="2005"/>
      <c r="Z338" s="2005"/>
      <c r="AA338" s="2001"/>
    </row>
    <row r="339" spans="2:27" ht="18" customHeight="1">
      <c r="B339" s="935"/>
      <c r="C339" s="935"/>
      <c r="D339" s="935"/>
      <c r="E339" s="935"/>
      <c r="F339" s="935"/>
      <c r="G339" s="935"/>
      <c r="H339" s="935"/>
      <c r="I339" s="935"/>
      <c r="J339" s="935"/>
      <c r="K339" s="935"/>
      <c r="L339"/>
      <c r="M339"/>
      <c r="N339"/>
      <c r="O339"/>
      <c r="P339"/>
      <c r="Q339"/>
      <c r="R339"/>
      <c r="S339"/>
      <c r="T339"/>
      <c r="U339"/>
      <c r="V339"/>
      <c r="W339"/>
      <c r="X339"/>
      <c r="Y339"/>
      <c r="Z339"/>
      <c r="AA339"/>
    </row>
    <row r="340" spans="2:27" ht="18" customHeight="1" thickBot="1">
      <c r="B340" s="703" t="s">
        <v>331</v>
      </c>
      <c r="C340" s="426" t="s">
        <v>628</v>
      </c>
      <c r="D340" s="234"/>
      <c r="E340" s="234"/>
      <c r="F340" s="234"/>
      <c r="G340" s="234"/>
      <c r="H340" s="234"/>
      <c r="I340" s="234"/>
      <c r="J340" s="234"/>
      <c r="K340" s="234"/>
      <c r="L340"/>
      <c r="M340"/>
      <c r="N340"/>
      <c r="O340"/>
      <c r="P340"/>
      <c r="Q340"/>
      <c r="R340"/>
      <c r="S340"/>
      <c r="T340"/>
      <c r="U340"/>
      <c r="V340"/>
      <c r="W340"/>
      <c r="X340"/>
      <c r="Y340"/>
      <c r="Z340"/>
      <c r="AA340"/>
    </row>
    <row r="341" spans="2:27" ht="18" customHeight="1">
      <c r="B341" s="203"/>
      <c r="C341" s="203"/>
      <c r="D341" s="203"/>
      <c r="E341" s="203"/>
      <c r="F341" s="203"/>
      <c r="G341" s="203"/>
      <c r="H341" s="203"/>
      <c r="I341" s="203"/>
      <c r="J341" s="203"/>
      <c r="K341" s="203"/>
      <c r="L341"/>
      <c r="M341" s="941"/>
      <c r="N341" s="942"/>
      <c r="O341" s="942"/>
      <c r="P341" s="942"/>
      <c r="Q341" s="183"/>
      <c r="R341" s="939" t="s">
        <v>855</v>
      </c>
      <c r="S341" s="939" t="s">
        <v>231</v>
      </c>
      <c r="T341" s="951" t="s">
        <v>232</v>
      </c>
      <c r="U341" s="851" t="s">
        <v>856</v>
      </c>
      <c r="V341" s="944"/>
      <c r="W341" s="939" t="s">
        <v>855</v>
      </c>
      <c r="X341" s="939" t="s">
        <v>231</v>
      </c>
      <c r="Y341" s="951" t="s">
        <v>232</v>
      </c>
      <c r="Z341" s="850" t="s">
        <v>856</v>
      </c>
      <c r="AA341"/>
    </row>
    <row r="342" spans="2:27" ht="18" customHeight="1" thickBot="1">
      <c r="B342" s="462">
        <v>1</v>
      </c>
      <c r="C342" s="1370" t="s">
        <v>776</v>
      </c>
      <c r="D342" s="1371"/>
      <c r="E342" s="1371"/>
      <c r="F342" s="1371"/>
      <c r="G342" s="1371"/>
      <c r="H342" s="1371"/>
      <c r="I342" s="1371"/>
      <c r="J342" s="1371"/>
      <c r="K342" s="928">
        <f>IF(VA_KOSTENANALYSE=2,"- - - - - - -",(T327+U327+V327)+IF(OR(VA_BESTANDSEINGABE=1,VA_ZUSAMMEN=1),0,(X327+Y327+Z327)))</f>
        <v>0</v>
      </c>
      <c r="L342"/>
      <c r="M342" s="2026" t="s">
        <v>5</v>
      </c>
      <c r="N342" s="2027"/>
      <c r="O342" s="2027" t="s">
        <v>857</v>
      </c>
      <c r="P342" s="2027"/>
      <c r="Q342" s="938"/>
      <c r="R342" s="937">
        <f>H71</f>
        <v>0</v>
      </c>
      <c r="S342" s="937">
        <f>J71</f>
        <v>0</v>
      </c>
      <c r="T342" s="53">
        <f>L71</f>
        <v>0</v>
      </c>
      <c r="U342" s="1861">
        <f>O77</f>
        <v>0</v>
      </c>
      <c r="V342" s="938"/>
      <c r="W342" s="937">
        <f>R71</f>
        <v>0</v>
      </c>
      <c r="X342" s="937">
        <f>T71</f>
        <v>0</v>
      </c>
      <c r="Y342" s="53">
        <f>V71</f>
        <v>0</v>
      </c>
      <c r="Z342" s="2039">
        <f>Q77</f>
        <v>0</v>
      </c>
      <c r="AA342"/>
    </row>
    <row r="343" spans="2:27" ht="18" customHeight="1" thickBot="1">
      <c r="B343" s="466">
        <v>2</v>
      </c>
      <c r="C343" s="1372" t="s">
        <v>332</v>
      </c>
      <c r="D343" s="1373"/>
      <c r="E343" s="1373"/>
      <c r="F343" s="1373"/>
      <c r="G343" s="1373"/>
      <c r="H343" s="1373"/>
      <c r="I343" s="1373"/>
      <c r="J343" s="1373"/>
      <c r="K343" s="928">
        <f>IF(VA_KOSTENANALYSE=2,"- - - - - - -",(T328+U328)+IF(OR(VA_BESTANDSEINGABE=1,VA_ZUSAMMEN=1),0,(X328+Y328)))</f>
        <v>0</v>
      </c>
      <c r="L343"/>
      <c r="M343" s="2026" t="s">
        <v>296</v>
      </c>
      <c r="N343" s="2027"/>
      <c r="O343" s="2027"/>
      <c r="P343" s="2027"/>
      <c r="Q343" s="938"/>
      <c r="R343" s="937">
        <f>H72</f>
        <v>0</v>
      </c>
      <c r="S343" s="937">
        <f>J72</f>
        <v>0</v>
      </c>
      <c r="T343" s="53">
        <f>L72</f>
        <v>0</v>
      </c>
      <c r="U343" s="1857"/>
      <c r="V343" s="938"/>
      <c r="W343" s="937">
        <f>R72</f>
        <v>0</v>
      </c>
      <c r="X343" s="937">
        <f>T72</f>
        <v>0</v>
      </c>
      <c r="Y343" s="53">
        <f>V72</f>
        <v>0</v>
      </c>
      <c r="Z343" s="2040"/>
      <c r="AA343"/>
    </row>
    <row r="344" spans="2:27" ht="18" customHeight="1" thickBot="1">
      <c r="B344" s="463">
        <v>3</v>
      </c>
      <c r="C344" s="2028" t="s">
        <v>334</v>
      </c>
      <c r="D344" s="2029"/>
      <c r="E344" s="2029"/>
      <c r="F344" s="2029"/>
      <c r="G344" s="2029"/>
      <c r="H344" s="2029"/>
      <c r="I344" s="2029"/>
      <c r="J344" s="2029"/>
      <c r="K344" s="928">
        <f>IF(VA_KOSTENANALYSE=2,"- - - - - - -",U332+IF(OR(VA_BESTANDSEINGABE=1,VA_ZUSAMMEN=1),0,Y332))</f>
        <v>0</v>
      </c>
      <c r="L344"/>
      <c r="M344" s="2026" t="s">
        <v>120</v>
      </c>
      <c r="N344" s="2027"/>
      <c r="O344" s="2027"/>
      <c r="P344" s="2027"/>
      <c r="Q344" s="938"/>
      <c r="R344" s="937">
        <f>H73</f>
        <v>0</v>
      </c>
      <c r="S344" s="937">
        <f>J73</f>
        <v>0</v>
      </c>
      <c r="T344" s="53">
        <f>L73</f>
        <v>0</v>
      </c>
      <c r="U344" s="1857"/>
      <c r="V344" s="938"/>
      <c r="W344" s="937">
        <f>R73</f>
        <v>0</v>
      </c>
      <c r="X344" s="937">
        <f>T73</f>
        <v>0</v>
      </c>
      <c r="Y344" s="53">
        <f>V73</f>
        <v>0</v>
      </c>
      <c r="Z344" s="2040"/>
      <c r="AA344"/>
    </row>
    <row r="345" spans="2:27" ht="18" customHeight="1">
      <c r="B345" s="464">
        <v>4</v>
      </c>
      <c r="C345" s="2030" t="s">
        <v>335</v>
      </c>
      <c r="D345" s="2031"/>
      <c r="E345" s="2031"/>
      <c r="F345" s="2031"/>
      <c r="G345" s="2031"/>
      <c r="H345" s="2031"/>
      <c r="I345" s="2031"/>
      <c r="J345" s="2031"/>
      <c r="K345" s="929">
        <f>IF(VA_KOSTENANALYSE=2,"- - - - - - -",U335+IF(OR(VA_BESTANDSEINGABE=1,VA_ZUSAMMEN=1),0,Y335))</f>
        <v>0</v>
      </c>
      <c r="L345"/>
      <c r="M345" s="2026" t="s">
        <v>705</v>
      </c>
      <c r="N345" s="2027"/>
      <c r="O345" s="2027"/>
      <c r="P345" s="2027"/>
      <c r="Q345" s="938"/>
      <c r="R345" s="937">
        <f>H74</f>
        <v>0</v>
      </c>
      <c r="S345" s="937">
        <f>J74</f>
        <v>0</v>
      </c>
      <c r="T345" s="53">
        <f>L74</f>
        <v>0</v>
      </c>
      <c r="U345" s="1859"/>
      <c r="V345" s="938"/>
      <c r="W345" s="937">
        <f>R74</f>
        <v>0</v>
      </c>
      <c r="X345" s="937">
        <f>T74</f>
        <v>0</v>
      </c>
      <c r="Y345" s="53">
        <f>V74</f>
        <v>0</v>
      </c>
      <c r="Z345" s="2041"/>
      <c r="AA345"/>
    </row>
    <row r="346" spans="2:27" ht="18" customHeight="1">
      <c r="B346" s="237"/>
      <c r="C346" s="237"/>
      <c r="D346" s="237"/>
      <c r="E346" s="237"/>
      <c r="F346" s="237"/>
      <c r="G346" s="237"/>
      <c r="H346" s="237"/>
      <c r="I346" s="237"/>
      <c r="J346" s="237"/>
      <c r="K346" s="237"/>
      <c r="L346"/>
      <c r="M346" s="2026" t="s">
        <v>228</v>
      </c>
      <c r="N346" s="2027"/>
      <c r="O346" s="2027"/>
      <c r="P346" s="1924"/>
      <c r="Q346" s="3"/>
      <c r="R346" s="932"/>
      <c r="S346" s="937">
        <f>J75</f>
        <v>0</v>
      </c>
      <c r="T346" s="945"/>
      <c r="U346" s="931"/>
      <c r="V346" s="3"/>
      <c r="W346" s="932"/>
      <c r="X346" s="937">
        <f>T75</f>
        <v>0</v>
      </c>
      <c r="Y346" s="945"/>
      <c r="Z346" s="949"/>
      <c r="AA346"/>
    </row>
    <row r="347" spans="2:27" ht="18" customHeight="1">
      <c r="B347" s="703" t="s">
        <v>336</v>
      </c>
      <c r="C347" s="426" t="s">
        <v>337</v>
      </c>
      <c r="D347" s="234"/>
      <c r="E347" s="234"/>
      <c r="F347" s="234"/>
      <c r="G347" s="234"/>
      <c r="H347" s="234"/>
      <c r="I347" s="234"/>
      <c r="J347" s="234"/>
      <c r="K347" s="234"/>
      <c r="L347"/>
      <c r="M347" s="2026" t="s">
        <v>5</v>
      </c>
      <c r="N347" s="2027"/>
      <c r="O347" s="2027" t="s">
        <v>858</v>
      </c>
      <c r="P347" s="2027"/>
      <c r="Q347" s="938"/>
      <c r="R347" s="937">
        <f>H76</f>
        <v>0</v>
      </c>
      <c r="S347" s="945"/>
      <c r="T347" s="134"/>
      <c r="U347" s="134"/>
      <c r="V347" s="48"/>
      <c r="W347" s="937">
        <f>R76</f>
        <v>0</v>
      </c>
      <c r="X347" s="945"/>
      <c r="Y347" s="134"/>
      <c r="Z347" s="135"/>
      <c r="AA347"/>
    </row>
    <row r="348" spans="2:27" ht="18" customHeight="1">
      <c r="B348" s="203"/>
      <c r="C348" s="203"/>
      <c r="D348" s="203"/>
      <c r="E348" s="203"/>
      <c r="F348" s="203"/>
      <c r="G348" s="203"/>
      <c r="H348" s="203"/>
      <c r="I348" s="203"/>
      <c r="J348" s="203"/>
      <c r="K348" s="203"/>
      <c r="L348"/>
      <c r="M348" s="2026" t="s">
        <v>296</v>
      </c>
      <c r="N348" s="2027"/>
      <c r="O348" s="2027"/>
      <c r="P348" s="2027"/>
      <c r="Q348" s="938"/>
      <c r="R348" s="937">
        <f>H77</f>
        <v>0</v>
      </c>
      <c r="S348" s="948"/>
      <c r="T348" s="134"/>
      <c r="U348" s="134"/>
      <c r="V348" s="48"/>
      <c r="W348" s="937">
        <f>R77</f>
        <v>0</v>
      </c>
      <c r="X348" s="948"/>
      <c r="Y348" s="134"/>
      <c r="Z348" s="135"/>
      <c r="AA348"/>
    </row>
    <row r="349" spans="2:27" ht="18" customHeight="1">
      <c r="B349" s="465">
        <v>1</v>
      </c>
      <c r="C349" s="2032" t="s">
        <v>777</v>
      </c>
      <c r="D349" s="2033"/>
      <c r="E349" s="2033"/>
      <c r="F349" s="2033"/>
      <c r="G349" s="2033"/>
      <c r="H349" s="2033"/>
      <c r="I349" s="2033"/>
      <c r="J349" s="2033"/>
      <c r="K349" s="934">
        <f>IF(VA_KOSTENANALYSE=2,"- - - - - - -",W327+IF(OR(VA_BESTANDSEINGABE=1,VA_ZUSAMMEN=1),0,AA327))</f>
        <v>0</v>
      </c>
      <c r="L349"/>
      <c r="M349" s="2026" t="s">
        <v>120</v>
      </c>
      <c r="N349" s="2027"/>
      <c r="O349" s="2027"/>
      <c r="P349" s="2027"/>
      <c r="Q349" s="938"/>
      <c r="R349" s="937">
        <f>H78</f>
        <v>0</v>
      </c>
      <c r="S349" s="948"/>
      <c r="T349" s="134"/>
      <c r="U349" s="134"/>
      <c r="V349" s="48"/>
      <c r="W349" s="937">
        <f>R78</f>
        <v>0</v>
      </c>
      <c r="X349" s="948"/>
      <c r="Y349" s="134"/>
      <c r="Z349" s="135"/>
      <c r="AA349"/>
    </row>
    <row r="350" spans="2:27" ht="18" customHeight="1">
      <c r="B350" s="237"/>
      <c r="C350" s="237"/>
      <c r="D350" s="237"/>
      <c r="E350" s="237"/>
      <c r="F350" s="237"/>
      <c r="G350" s="237"/>
      <c r="H350" s="237"/>
      <c r="I350" s="237"/>
      <c r="J350" s="237"/>
      <c r="K350" s="438"/>
      <c r="L350"/>
      <c r="M350" s="2026" t="s">
        <v>705</v>
      </c>
      <c r="N350" s="2027"/>
      <c r="O350" s="2027"/>
      <c r="P350" s="2027"/>
      <c r="Q350" s="938"/>
      <c r="R350" s="937">
        <f>H79</f>
        <v>0</v>
      </c>
      <c r="S350" s="948"/>
      <c r="T350" s="134"/>
      <c r="U350" s="134"/>
      <c r="V350" s="48"/>
      <c r="W350" s="937">
        <f>R79</f>
        <v>0</v>
      </c>
      <c r="X350" s="948"/>
      <c r="Y350" s="134"/>
      <c r="Z350" s="135"/>
      <c r="AA350"/>
    </row>
    <row r="351" spans="2:27" ht="18" customHeight="1" thickBot="1">
      <c r="B351" s="703" t="s">
        <v>339</v>
      </c>
      <c r="C351" s="426" t="s">
        <v>340</v>
      </c>
      <c r="D351" s="234"/>
      <c r="E351" s="234"/>
      <c r="F351" s="234"/>
      <c r="G351" s="234"/>
      <c r="H351" s="234"/>
      <c r="I351" s="234"/>
      <c r="J351" s="234"/>
      <c r="K351" s="234"/>
      <c r="L351"/>
      <c r="M351" s="2036" t="s">
        <v>859</v>
      </c>
      <c r="N351" s="2037"/>
      <c r="O351" s="2037" t="s">
        <v>857</v>
      </c>
      <c r="P351" s="2037"/>
      <c r="Q351" s="943"/>
      <c r="R351" s="940">
        <f>H80</f>
        <v>0</v>
      </c>
      <c r="S351" s="946"/>
      <c r="T351" s="947"/>
      <c r="U351" s="947"/>
      <c r="V351" s="91"/>
      <c r="W351" s="940">
        <f>R80</f>
        <v>0</v>
      </c>
      <c r="X351" s="946"/>
      <c r="Y351" s="947"/>
      <c r="Z351" s="950"/>
      <c r="AA351"/>
    </row>
    <row r="352" spans="2:27" ht="18" customHeight="1">
      <c r="B352" s="203"/>
      <c r="C352" s="203"/>
      <c r="D352" s="203"/>
      <c r="E352" s="203"/>
      <c r="F352" s="203"/>
      <c r="G352" s="203"/>
      <c r="H352" s="203"/>
      <c r="I352" s="203"/>
      <c r="J352" s="203"/>
      <c r="K352" s="203"/>
      <c r="L352"/>
      <c r="M352"/>
      <c r="N352"/>
      <c r="O352"/>
      <c r="P352"/>
      <c r="Q352"/>
      <c r="R352"/>
      <c r="S352"/>
      <c r="T352"/>
      <c r="U352"/>
      <c r="V352"/>
      <c r="W352"/>
      <c r="X352"/>
      <c r="Y352"/>
      <c r="Z352"/>
      <c r="AA352"/>
    </row>
    <row r="353" spans="2:11" ht="18" customHeight="1" thickBot="1">
      <c r="B353" s="462">
        <v>1</v>
      </c>
      <c r="C353" s="2034" t="s">
        <v>341</v>
      </c>
      <c r="D353" s="2035"/>
      <c r="E353" s="2035"/>
      <c r="F353" s="2035"/>
      <c r="G353" s="2035"/>
      <c r="H353" s="2035"/>
      <c r="I353" s="2035"/>
      <c r="J353" s="2035"/>
      <c r="K353" s="928">
        <f>IF(VA_KOSTENANALYSE=2,"- - - - - - -",U335+IF(OR(VA_BESTANDSEINGABE=1,VA_ZUSAMMEN=1),0,Y335))</f>
        <v>0</v>
      </c>
    </row>
    <row r="354" spans="2:11" ht="18" customHeight="1" thickBot="1">
      <c r="B354" s="463">
        <v>2</v>
      </c>
      <c r="C354" s="2028" t="s">
        <v>342</v>
      </c>
      <c r="D354" s="2029"/>
      <c r="E354" s="2029"/>
      <c r="F354" s="2029"/>
      <c r="G354" s="2029"/>
      <c r="H354" s="2029"/>
      <c r="I354" s="2029"/>
      <c r="J354" s="2029"/>
      <c r="K354" s="928">
        <f>IF(VA_KOSTENANALYSE=2,"- - - - - - -",W337+IF(OR(VA_BESTANDSEINGABE=1,VA_ZUSAMMEN=1),0,AA337))</f>
        <v>0</v>
      </c>
    </row>
    <row r="355" spans="2:11" ht="18" customHeight="1">
      <c r="B355" s="464">
        <v>3</v>
      </c>
      <c r="C355" s="2030" t="s">
        <v>343</v>
      </c>
      <c r="D355" s="2031"/>
      <c r="E355" s="2031"/>
      <c r="F355" s="2031"/>
      <c r="G355" s="2031"/>
      <c r="H355" s="2031"/>
      <c r="I355" s="2031"/>
      <c r="J355" s="2031"/>
      <c r="K355" s="929">
        <f>IF(AND(VA_KOSTENANALYSE=2,SUM(K358:K359)=0),"- - - - - - -",
IF(AND(VA_KOSTENANALYSE=2,SUM(K358:K359)&gt;0),SUM(K358:K359),
(T329+U329+V329+W329)+IF(OR(VA_BESTANDSEINGABE=1,VA_ZUSAMMEN=1),0,(X329+Y329+Z329+AA329))))</f>
        <v>0</v>
      </c>
    </row>
    <row r="357" spans="2:11" ht="18" customHeight="1">
      <c r="B357" s="1853" t="s">
        <v>1071</v>
      </c>
      <c r="C357" s="1853"/>
      <c r="D357" s="1853"/>
      <c r="E357" s="1853"/>
      <c r="F357" s="1853"/>
      <c r="G357" s="1853"/>
      <c r="H357" s="1853"/>
      <c r="I357" s="1853"/>
      <c r="J357" s="1853"/>
      <c r="K357" s="1853"/>
    </row>
    <row r="358" spans="2:11" ht="18" customHeight="1">
      <c r="B358" s="1031" t="s">
        <v>172</v>
      </c>
      <c r="C358" s="1854" t="s">
        <v>776</v>
      </c>
      <c r="D358" s="1854"/>
      <c r="E358" s="1854"/>
      <c r="F358" s="1854"/>
      <c r="G358" s="1854"/>
      <c r="H358" s="1854"/>
      <c r="I358" s="1854"/>
      <c r="J358" s="1854"/>
      <c r="K358" s="1030">
        <f>'D ▪ Kostenanalyse'!M55</f>
        <v>0</v>
      </c>
    </row>
    <row r="359" spans="2:11" ht="18" customHeight="1">
      <c r="B359" s="1031" t="s">
        <v>173</v>
      </c>
      <c r="C359" s="1855" t="s">
        <v>777</v>
      </c>
      <c r="D359" s="1855"/>
      <c r="E359" s="1855"/>
      <c r="F359" s="1855"/>
      <c r="G359" s="1855"/>
      <c r="H359" s="1855"/>
      <c r="I359" s="1855"/>
      <c r="J359" s="1855"/>
      <c r="K359" s="1030">
        <f>'D ▪ Kostenanalyse'!M62</f>
        <v>0</v>
      </c>
    </row>
  </sheetData>
  <mergeCells count="376">
    <mergeCell ref="M250:P250"/>
    <mergeCell ref="M249:P249"/>
    <mergeCell ref="M248:P248"/>
    <mergeCell ref="M264:P264"/>
    <mergeCell ref="M261:P261"/>
    <mergeCell ref="M260:P260"/>
    <mergeCell ref="M258:P258"/>
    <mergeCell ref="M257:P257"/>
    <mergeCell ref="M255:P255"/>
    <mergeCell ref="M254:P254"/>
    <mergeCell ref="M259:P259"/>
    <mergeCell ref="M262:P262"/>
    <mergeCell ref="M282:P282"/>
    <mergeCell ref="M281:P281"/>
    <mergeCell ref="M280:P280"/>
    <mergeCell ref="M276:P276"/>
    <mergeCell ref="M275:P275"/>
    <mergeCell ref="M274:P274"/>
    <mergeCell ref="M253:P253"/>
    <mergeCell ref="M252:P252"/>
    <mergeCell ref="M251:P251"/>
    <mergeCell ref="M311:P311"/>
    <mergeCell ref="M291:P291"/>
    <mergeCell ref="M290:P290"/>
    <mergeCell ref="M289:P289"/>
    <mergeCell ref="M288:P288"/>
    <mergeCell ref="M286:P286"/>
    <mergeCell ref="M285:P285"/>
    <mergeCell ref="M284:P284"/>
    <mergeCell ref="M283:P283"/>
    <mergeCell ref="M302:P302"/>
    <mergeCell ref="M304:P304"/>
    <mergeCell ref="M306:P306"/>
    <mergeCell ref="M307:P307"/>
    <mergeCell ref="M308:P308"/>
    <mergeCell ref="M309:P309"/>
    <mergeCell ref="M310:P310"/>
    <mergeCell ref="M294:P294"/>
    <mergeCell ref="M293:P293"/>
    <mergeCell ref="M296:P296"/>
    <mergeCell ref="M298:P298"/>
    <mergeCell ref="M299:P299"/>
    <mergeCell ref="M300:P300"/>
    <mergeCell ref="M301:P301"/>
    <mergeCell ref="M343:N343"/>
    <mergeCell ref="M344:N344"/>
    <mergeCell ref="O342:P345"/>
    <mergeCell ref="U342:U345"/>
    <mergeCell ref="L333:M333"/>
    <mergeCell ref="N333:S333"/>
    <mergeCell ref="Z342:Z345"/>
    <mergeCell ref="U332:U334"/>
    <mergeCell ref="W332:W334"/>
    <mergeCell ref="X332:X334"/>
    <mergeCell ref="Y332:Y334"/>
    <mergeCell ref="U335:U336"/>
    <mergeCell ref="W335:W336"/>
    <mergeCell ref="X335:X336"/>
    <mergeCell ref="Y335:Y336"/>
    <mergeCell ref="C343:J343"/>
    <mergeCell ref="C344:J344"/>
    <mergeCell ref="C345:J345"/>
    <mergeCell ref="C349:J349"/>
    <mergeCell ref="C353:J353"/>
    <mergeCell ref="C354:J354"/>
    <mergeCell ref="C355:J355"/>
    <mergeCell ref="T337:T338"/>
    <mergeCell ref="R327:S327"/>
    <mergeCell ref="M345:N345"/>
    <mergeCell ref="M346:N346"/>
    <mergeCell ref="M347:N347"/>
    <mergeCell ref="M348:N348"/>
    <mergeCell ref="M349:N349"/>
    <mergeCell ref="M350:N350"/>
    <mergeCell ref="M351:N351"/>
    <mergeCell ref="O346:P346"/>
    <mergeCell ref="O351:P351"/>
    <mergeCell ref="O347:P350"/>
    <mergeCell ref="D338:J338"/>
    <mergeCell ref="L338:M338"/>
    <mergeCell ref="N338:S338"/>
    <mergeCell ref="N332:S332"/>
    <mergeCell ref="B333:C333"/>
    <mergeCell ref="K337:K338"/>
    <mergeCell ref="T332:T334"/>
    <mergeCell ref="T335:T336"/>
    <mergeCell ref="C342:J342"/>
    <mergeCell ref="R326:S326"/>
    <mergeCell ref="R328:S328"/>
    <mergeCell ref="B328:C328"/>
    <mergeCell ref="B335:C335"/>
    <mergeCell ref="D335:J335"/>
    <mergeCell ref="L335:M335"/>
    <mergeCell ref="N335:S335"/>
    <mergeCell ref="B336:C336"/>
    <mergeCell ref="D336:J336"/>
    <mergeCell ref="L336:M336"/>
    <mergeCell ref="N336:S336"/>
    <mergeCell ref="B337:C337"/>
    <mergeCell ref="D337:J337"/>
    <mergeCell ref="L337:M337"/>
    <mergeCell ref="N337:S337"/>
    <mergeCell ref="B332:C332"/>
    <mergeCell ref="D332:J332"/>
    <mergeCell ref="L332:M332"/>
    <mergeCell ref="M342:N342"/>
    <mergeCell ref="D333:J333"/>
    <mergeCell ref="B334:C334"/>
    <mergeCell ref="D334:J334"/>
    <mergeCell ref="L334:M334"/>
    <mergeCell ref="N334:S334"/>
    <mergeCell ref="B326:C326"/>
    <mergeCell ref="F326:G326"/>
    <mergeCell ref="R329:S329"/>
    <mergeCell ref="AA332:AA334"/>
    <mergeCell ref="AA335:AA336"/>
    <mergeCell ref="R330:S330"/>
    <mergeCell ref="AA337:AA338"/>
    <mergeCell ref="V332:V334"/>
    <mergeCell ref="V335:V336"/>
    <mergeCell ref="V337:V338"/>
    <mergeCell ref="Z332:Z334"/>
    <mergeCell ref="Z335:Z336"/>
    <mergeCell ref="Z337:Z338"/>
    <mergeCell ref="U337:U338"/>
    <mergeCell ref="W337:W338"/>
    <mergeCell ref="X337:X338"/>
    <mergeCell ref="Y337:Y338"/>
    <mergeCell ref="B318:B319"/>
    <mergeCell ref="C318:G319"/>
    <mergeCell ref="C291:H291"/>
    <mergeCell ref="C295:H295"/>
    <mergeCell ref="C280:H280"/>
    <mergeCell ref="C284:H284"/>
    <mergeCell ref="B285:B286"/>
    <mergeCell ref="C285:H285"/>
    <mergeCell ref="C286:H286"/>
    <mergeCell ref="C287:H287"/>
    <mergeCell ref="C288:H288"/>
    <mergeCell ref="B289:B290"/>
    <mergeCell ref="C289:H289"/>
    <mergeCell ref="C290:H290"/>
    <mergeCell ref="B296:B297"/>
    <mergeCell ref="C296:H296"/>
    <mergeCell ref="C297:H297"/>
    <mergeCell ref="C299:H299"/>
    <mergeCell ref="B300:B304"/>
    <mergeCell ref="C300:H304"/>
    <mergeCell ref="C305:H305"/>
    <mergeCell ref="B311:B312"/>
    <mergeCell ref="C311:H312"/>
    <mergeCell ref="B313:B314"/>
    <mergeCell ref="B307:B310"/>
    <mergeCell ref="C308:H309"/>
    <mergeCell ref="C243:Q243"/>
    <mergeCell ref="U7:V7"/>
    <mergeCell ref="C265:H265"/>
    <mergeCell ref="C266:H266"/>
    <mergeCell ref="C267:H267"/>
    <mergeCell ref="C268:H268"/>
    <mergeCell ref="C272:H272"/>
    <mergeCell ref="C273:H273"/>
    <mergeCell ref="C274:H274"/>
    <mergeCell ref="V73:W73"/>
    <mergeCell ref="R75:S75"/>
    <mergeCell ref="T75:U75"/>
    <mergeCell ref="V75:W75"/>
    <mergeCell ref="R76:S76"/>
    <mergeCell ref="T76:U76"/>
    <mergeCell ref="V76:W76"/>
    <mergeCell ref="L75:M75"/>
    <mergeCell ref="H76:I76"/>
    <mergeCell ref="J76:K76"/>
    <mergeCell ref="L76:M76"/>
    <mergeCell ref="V78:W78"/>
    <mergeCell ref="R80:S80"/>
    <mergeCell ref="C253:H254"/>
    <mergeCell ref="C255:H255"/>
    <mergeCell ref="C256:H256"/>
    <mergeCell ref="C260:H260"/>
    <mergeCell ref="C261:H261"/>
    <mergeCell ref="C275:H275"/>
    <mergeCell ref="M273:P273"/>
    <mergeCell ref="M272:P272"/>
    <mergeCell ref="M271:P271"/>
    <mergeCell ref="M270:P270"/>
    <mergeCell ref="M269:P269"/>
    <mergeCell ref="M267:P267"/>
    <mergeCell ref="M266:P266"/>
    <mergeCell ref="M265:P265"/>
    <mergeCell ref="C320:G320"/>
    <mergeCell ref="I296:I297"/>
    <mergeCell ref="I300:I304"/>
    <mergeCell ref="I308:I310"/>
    <mergeCell ref="I311:I312"/>
    <mergeCell ref="I313:I314"/>
    <mergeCell ref="I318:I319"/>
    <mergeCell ref="U83:W83"/>
    <mergeCell ref="U84:W84"/>
    <mergeCell ref="U85:W85"/>
    <mergeCell ref="U87:W87"/>
    <mergeCell ref="B83:J83"/>
    <mergeCell ref="B84:J84"/>
    <mergeCell ref="B85:J85"/>
    <mergeCell ref="B87:J87"/>
    <mergeCell ref="K86:M86"/>
    <mergeCell ref="U86:W86"/>
    <mergeCell ref="S132:U132"/>
    <mergeCell ref="S131:U131"/>
    <mergeCell ref="K128:U128"/>
    <mergeCell ref="C313:G314"/>
    <mergeCell ref="C315:H315"/>
    <mergeCell ref="C316:H316"/>
    <mergeCell ref="C317:H317"/>
    <mergeCell ref="V70:W70"/>
    <mergeCell ref="R71:S71"/>
    <mergeCell ref="T71:U71"/>
    <mergeCell ref="V71:W71"/>
    <mergeCell ref="B70:G70"/>
    <mergeCell ref="H80:I80"/>
    <mergeCell ref="J80:K80"/>
    <mergeCell ref="L80:M80"/>
    <mergeCell ref="H78:I78"/>
    <mergeCell ref="J78:K78"/>
    <mergeCell ref="O77:O79"/>
    <mergeCell ref="Q77:Q79"/>
    <mergeCell ref="H70:I70"/>
    <mergeCell ref="J70:K70"/>
    <mergeCell ref="L70:M70"/>
    <mergeCell ref="H71:I71"/>
    <mergeCell ref="J71:K71"/>
    <mergeCell ref="L71:M71"/>
    <mergeCell ref="T80:U80"/>
    <mergeCell ref="V80:W80"/>
    <mergeCell ref="V74:W74"/>
    <mergeCell ref="H79:I79"/>
    <mergeCell ref="R79:S79"/>
    <mergeCell ref="H73:I73"/>
    <mergeCell ref="B48:C48"/>
    <mergeCell ref="T61:U61"/>
    <mergeCell ref="T60:U60"/>
    <mergeCell ref="P122:Q123"/>
    <mergeCell ref="U122:U123"/>
    <mergeCell ref="R127:U127"/>
    <mergeCell ref="R122:R123"/>
    <mergeCell ref="S122:S123"/>
    <mergeCell ref="T122:T123"/>
    <mergeCell ref="C115:F115"/>
    <mergeCell ref="B54:C55"/>
    <mergeCell ref="B67:G67"/>
    <mergeCell ref="B68:G68"/>
    <mergeCell ref="K127:L127"/>
    <mergeCell ref="N127:Q127"/>
    <mergeCell ref="K125:L125"/>
    <mergeCell ref="N124:P124"/>
    <mergeCell ref="N125:P125"/>
    <mergeCell ref="N126:P126"/>
    <mergeCell ref="T74:U74"/>
    <mergeCell ref="R70:S70"/>
    <mergeCell ref="T70:U70"/>
    <mergeCell ref="R73:S73"/>
    <mergeCell ref="T73:U73"/>
    <mergeCell ref="D48:F48"/>
    <mergeCell ref="N7:O7"/>
    <mergeCell ref="D15:E15"/>
    <mergeCell ref="F15:G15"/>
    <mergeCell ref="H15:I15"/>
    <mergeCell ref="H31:I31"/>
    <mergeCell ref="J31:K31"/>
    <mergeCell ref="L31:M31"/>
    <mergeCell ref="J15:K15"/>
    <mergeCell ref="L15:M15"/>
    <mergeCell ref="D7:E7"/>
    <mergeCell ref="F7:G7"/>
    <mergeCell ref="H7:I7"/>
    <mergeCell ref="U5:V5"/>
    <mergeCell ref="U6:V6"/>
    <mergeCell ref="D5:E5"/>
    <mergeCell ref="F5:G5"/>
    <mergeCell ref="V60:W60"/>
    <mergeCell ref="F61:G61"/>
    <mergeCell ref="H61:I61"/>
    <mergeCell ref="J61:K61"/>
    <mergeCell ref="L61:M61"/>
    <mergeCell ref="P61:Q61"/>
    <mergeCell ref="V61:W61"/>
    <mergeCell ref="R61:S61"/>
    <mergeCell ref="T54:W54"/>
    <mergeCell ref="P5:Q5"/>
    <mergeCell ref="N15:O15"/>
    <mergeCell ref="D54:I54"/>
    <mergeCell ref="J54:M54"/>
    <mergeCell ref="N54:S54"/>
    <mergeCell ref="F60:G60"/>
    <mergeCell ref="H60:I60"/>
    <mergeCell ref="J60:K60"/>
    <mergeCell ref="L60:M60"/>
    <mergeCell ref="P60:Q60"/>
    <mergeCell ref="R60:S60"/>
    <mergeCell ref="N41:P41"/>
    <mergeCell ref="N31:O31"/>
    <mergeCell ref="D23:E23"/>
    <mergeCell ref="F23:G23"/>
    <mergeCell ref="H23:I23"/>
    <mergeCell ref="J23:K23"/>
    <mergeCell ref="N23:O23"/>
    <mergeCell ref="D31:E31"/>
    <mergeCell ref="F31:G31"/>
    <mergeCell ref="L23:M23"/>
    <mergeCell ref="H5:I5"/>
    <mergeCell ref="J5:K5"/>
    <mergeCell ref="V66:W66"/>
    <mergeCell ref="H66:I66"/>
    <mergeCell ref="J66:K66"/>
    <mergeCell ref="L66:M66"/>
    <mergeCell ref="F62:I62"/>
    <mergeCell ref="J62:M62"/>
    <mergeCell ref="P62:S62"/>
    <mergeCell ref="T62:W62"/>
    <mergeCell ref="B66:G66"/>
    <mergeCell ref="R66:S66"/>
    <mergeCell ref="T66:U66"/>
    <mergeCell ref="B64:E64"/>
    <mergeCell ref="J7:K7"/>
    <mergeCell ref="L7:M7"/>
    <mergeCell ref="B5:C5"/>
    <mergeCell ref="M5:N5"/>
    <mergeCell ref="Q41:S41"/>
    <mergeCell ref="T41:V41"/>
    <mergeCell ref="B41:C42"/>
    <mergeCell ref="D41:F41"/>
    <mergeCell ref="G41:I41"/>
    <mergeCell ref="J41:L41"/>
    <mergeCell ref="J73:K73"/>
    <mergeCell ref="L73:M73"/>
    <mergeCell ref="R72:S72"/>
    <mergeCell ref="T72:U72"/>
    <mergeCell ref="V72:W72"/>
    <mergeCell ref="L78:M78"/>
    <mergeCell ref="H75:I75"/>
    <mergeCell ref="J75:K75"/>
    <mergeCell ref="H72:I72"/>
    <mergeCell ref="J72:K72"/>
    <mergeCell ref="L72:M72"/>
    <mergeCell ref="R77:S77"/>
    <mergeCell ref="T77:U77"/>
    <mergeCell ref="H77:I77"/>
    <mergeCell ref="J77:K77"/>
    <mergeCell ref="L77:M77"/>
    <mergeCell ref="V77:W77"/>
    <mergeCell ref="R78:S78"/>
    <mergeCell ref="T78:U78"/>
    <mergeCell ref="B357:K357"/>
    <mergeCell ref="C358:J358"/>
    <mergeCell ref="C359:J359"/>
    <mergeCell ref="D71:G74"/>
    <mergeCell ref="D76:G79"/>
    <mergeCell ref="H74:I74"/>
    <mergeCell ref="J74:K74"/>
    <mergeCell ref="L74:M74"/>
    <mergeCell ref="R74:S74"/>
    <mergeCell ref="B82:G82"/>
    <mergeCell ref="K83:M83"/>
    <mergeCell ref="K84:M84"/>
    <mergeCell ref="K85:M85"/>
    <mergeCell ref="K87:M87"/>
    <mergeCell ref="C242:E242"/>
    <mergeCell ref="F242:H242"/>
    <mergeCell ref="I242:K242"/>
    <mergeCell ref="L242:N242"/>
    <mergeCell ref="O242:Q242"/>
    <mergeCell ref="C279:H279"/>
    <mergeCell ref="C250:H250"/>
    <mergeCell ref="C251:H251"/>
    <mergeCell ref="C252:H252"/>
    <mergeCell ref="B253:B254"/>
  </mergeCells>
  <conditionalFormatting sqref="A1:XFD1">
    <cfRule type="expression" dxfId="8" priority="3">
      <formula>V_ARBEIT=1</formula>
    </cfRule>
  </conditionalFormatting>
  <conditionalFormatting sqref="B83:J87">
    <cfRule type="expression" dxfId="7" priority="10">
      <formula>OR(VA_KOSTENANALYSE=0,AND(VA_KOSTENANALYSE=1,OR(VA_FEHLERMODUL&lt;&gt;0,VA_FEHLER_AB&lt;&gt;0,VA_FEHLER_C&lt;&gt;0,VA_FEHLER_CD=1)))</formula>
    </cfRule>
  </conditionalFormatting>
  <conditionalFormatting sqref="C358:J359">
    <cfRule type="expression" dxfId="6" priority="1">
      <formula>OR(VA_KOSTENANALYSE=0,AND(VA_KOSTENANALYSE=1,OR(VA_FEHLERMODUL&lt;&gt;0,VA_FEHLER_AB&lt;&gt;0,VA_FEHLER_C&lt;&gt;0,VA_FEHLER_CD=1)))</formula>
    </cfRule>
  </conditionalFormatting>
  <conditionalFormatting sqref="I248:I249 B248:H252 B253:C253 B255:H261 I257:I259 B262:I263 B264:H268 B269:I270 B271:H275 B276:I277 B278:H280 B281:I282 B283:H285 C286:H286 B287:H289 C290:H290 B291:H291 B292:I293 B294:H296 C297:H297 B299:H299 B300:C300 B305:H305 B307 C308 B311:C311 B313:C313 B315:H317 B318:C318 H318:H320 B320:C320">
    <cfRule type="expression" dxfId="5" priority="9">
      <formula>CELL("protect",B248)=0</formula>
    </cfRule>
  </conditionalFormatting>
  <conditionalFormatting sqref="I264">
    <cfRule type="expression" dxfId="4" priority="8">
      <formula>CELL("protect",I264)=0</formula>
    </cfRule>
  </conditionalFormatting>
  <conditionalFormatting sqref="I271">
    <cfRule type="expression" dxfId="3" priority="7">
      <formula>CELL("protect",I271)=0</formula>
    </cfRule>
  </conditionalFormatting>
  <conditionalFormatting sqref="I278">
    <cfRule type="expression" dxfId="2" priority="6">
      <formula>CELL("protect",I278)=0</formula>
    </cfRule>
  </conditionalFormatting>
  <conditionalFormatting sqref="I283">
    <cfRule type="expression" dxfId="1" priority="5">
      <formula>CELL("protect",I283)=0</formula>
    </cfRule>
  </conditionalFormatting>
  <conditionalFormatting sqref="I294">
    <cfRule type="expression" dxfId="0" priority="4">
      <formula>CELL("protect",I294)=0</formula>
    </cfRule>
  </conditionalFormatting>
  <pageMargins left="0.70866141732283472" right="0.70866141732283472" top="3.5433070866141736" bottom="0.74803149606299213" header="0.59055118110236227" footer="0.31496062992125984"/>
  <pageSetup paperSize="9" orientation="portrait" horizontalDpi="1200" verticalDpi="1200" r:id="rId1"/>
  <headerFooter>
    <oddHeader>&amp;L&amp;18&amp;UTabellereiter: &amp;A&amp;"-,Bold"&amp;U
&amp;"-,Regular"&amp;U
&amp;"-,Bold"&amp;UDieser Tabellenreiter ist nicht für einen Ausdruck optimiert.</oddHeader>
    <oddFooter>&amp;R&amp;KA5A5A5&amp;"Calibri"&amp;6Druck am: &amp;D
Tabellenreiter: &amp;A
Version: 3.6 (08.01.2025)</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64202-9806-4AD2-94D8-1826168C0730}">
  <sheetPr codeName="Sheet7">
    <tabColor theme="3" tint="0.79998168889431442"/>
    <pageSetUpPr autoPageBreaks="0" fitToPage="1"/>
  </sheetPr>
  <dimension ref="A1:AA107"/>
  <sheetViews>
    <sheetView showGridLines="0" showRowColHeaders="0" zoomScaleNormal="100" workbookViewId="0">
      <pane ySplit="3" topLeftCell="A4" activePane="bottomLeft" state="frozen"/>
      <selection activeCell="A4" sqref="A4"/>
      <selection pane="bottomLeft" activeCell="A4" sqref="A4"/>
    </sheetView>
  </sheetViews>
  <sheetFormatPr baseColWidth="10" defaultColWidth="18.6640625" defaultRowHeight="18" customHeight="1"/>
  <cols>
    <col min="1" max="1" width="1.6640625" style="203" customWidth="1"/>
    <col min="2" max="2" width="3.6640625" style="203" customWidth="1"/>
    <col min="3" max="20" width="9.6640625" style="203" customWidth="1"/>
    <col min="21" max="21" width="3.6640625" style="203" customWidth="1"/>
    <col min="22" max="22" width="1.6640625" style="203" customWidth="1"/>
    <col min="23" max="23" width="0.83203125" style="203" customWidth="1"/>
    <col min="24" max="24" width="7.1640625" style="203" customWidth="1"/>
    <col min="25" max="16384" width="18.6640625" style="203"/>
  </cols>
  <sheetData>
    <row r="1" spans="1:27" ht="37.5" customHeight="1">
      <c r="A1" s="1036" t="s">
        <v>178</v>
      </c>
      <c r="B1" s="1036"/>
      <c r="C1" s="506" t="str">
        <f>TBS_FH</f>
        <v/>
      </c>
      <c r="D1" s="504"/>
      <c r="E1" s="504"/>
      <c r="F1" s="504"/>
      <c r="G1" s="504"/>
      <c r="H1" s="504"/>
      <c r="I1" s="504"/>
      <c r="J1" s="504"/>
      <c r="K1" s="504"/>
      <c r="L1" s="504"/>
      <c r="M1" s="504"/>
      <c r="N1" s="504"/>
      <c r="O1" s="504"/>
      <c r="P1" s="504"/>
      <c r="Q1" s="504"/>
      <c r="R1" s="1037" t="str">
        <f>"Ermittelter Baubedarf:"&amp;CHAR(10)&amp;VA_BBGESAMT</f>
        <v>Ermittelter Baubedarf:
es fehlen noch Daten</v>
      </c>
      <c r="S1" s="1038"/>
      <c r="T1" s="1038"/>
      <c r="U1" s="507"/>
      <c r="Y1" s="1034" t="s">
        <v>779</v>
      </c>
      <c r="Z1" s="1034"/>
      <c r="AA1" s="1034"/>
    </row>
    <row r="2" spans="1:27" ht="4" customHeight="1">
      <c r="A2" s="204"/>
      <c r="B2" s="205"/>
      <c r="C2" s="205"/>
      <c r="D2" s="204"/>
      <c r="E2" s="204"/>
      <c r="F2" s="204"/>
      <c r="G2" s="204"/>
      <c r="H2" s="204"/>
      <c r="I2" s="204"/>
      <c r="J2" s="204"/>
      <c r="K2" s="204"/>
      <c r="L2" s="204"/>
      <c r="M2" s="204"/>
      <c r="N2" s="204"/>
      <c r="O2" s="204"/>
      <c r="P2" s="204"/>
      <c r="Q2" s="204"/>
      <c r="R2" s="204"/>
      <c r="S2" s="204"/>
      <c r="T2" s="204"/>
      <c r="U2" s="204"/>
      <c r="V2" s="204"/>
      <c r="W2" s="204"/>
    </row>
    <row r="3" spans="1:27" ht="4" customHeight="1">
      <c r="B3" s="206"/>
      <c r="C3" s="206"/>
      <c r="W3" s="204"/>
    </row>
    <row r="4" spans="1:27" ht="14" customHeight="1" thickBot="1">
      <c r="W4" s="204"/>
    </row>
    <row r="5" spans="1:27" ht="14" customHeight="1">
      <c r="B5" s="207"/>
      <c r="C5" s="208"/>
      <c r="D5" s="208"/>
      <c r="E5" s="208"/>
      <c r="F5" s="208"/>
      <c r="G5" s="208"/>
      <c r="H5" s="208"/>
      <c r="I5" s="208"/>
      <c r="J5" s="208"/>
      <c r="K5" s="208"/>
      <c r="L5" s="208"/>
      <c r="M5" s="208"/>
      <c r="N5" s="208"/>
      <c r="O5" s="208"/>
      <c r="P5" s="208"/>
      <c r="Q5" s="208"/>
      <c r="R5" s="208"/>
      <c r="S5" s="208"/>
      <c r="T5" s="208"/>
      <c r="U5" s="209"/>
      <c r="W5" s="204"/>
    </row>
    <row r="6" spans="1:27" ht="18" customHeight="1">
      <c r="B6" s="210"/>
      <c r="C6" s="403" t="s">
        <v>492</v>
      </c>
      <c r="D6" s="212"/>
      <c r="E6" s="212"/>
      <c r="F6" s="212"/>
      <c r="G6" s="212"/>
      <c r="H6" s="212"/>
      <c r="I6" s="212"/>
      <c r="J6" s="212"/>
      <c r="K6" s="212"/>
      <c r="L6" s="212"/>
      <c r="M6" s="212"/>
      <c r="N6" s="212"/>
      <c r="O6" s="212"/>
      <c r="P6" s="212"/>
      <c r="Q6" s="212"/>
      <c r="R6" s="212"/>
      <c r="S6" s="212"/>
      <c r="T6" s="212"/>
      <c r="U6" s="213"/>
      <c r="W6" s="204"/>
    </row>
    <row r="7" spans="1:27" ht="6" customHeight="1">
      <c r="B7" s="210"/>
      <c r="C7" s="211"/>
      <c r="D7" s="212"/>
      <c r="E7" s="212"/>
      <c r="F7" s="212"/>
      <c r="G7" s="212"/>
      <c r="H7" s="212"/>
      <c r="I7" s="212"/>
      <c r="J7" s="212"/>
      <c r="K7" s="212"/>
      <c r="L7" s="212"/>
      <c r="M7" s="212"/>
      <c r="N7" s="212"/>
      <c r="O7" s="212"/>
      <c r="P7" s="212"/>
      <c r="Q7" s="212"/>
      <c r="R7" s="212"/>
      <c r="S7" s="212"/>
      <c r="T7" s="212"/>
      <c r="U7" s="213"/>
      <c r="W7" s="204"/>
    </row>
    <row r="8" spans="1:27" ht="18" customHeight="1">
      <c r="B8" s="210"/>
      <c r="C8" s="202" t="s">
        <v>464</v>
      </c>
      <c r="D8" s="212"/>
      <c r="E8" s="212"/>
      <c r="F8" s="212"/>
      <c r="G8" s="212"/>
      <c r="H8" s="212"/>
      <c r="I8" s="212"/>
      <c r="J8" s="212"/>
      <c r="K8" s="212"/>
      <c r="L8" s="212"/>
      <c r="M8" s="212"/>
      <c r="N8" s="212"/>
      <c r="O8" s="212"/>
      <c r="P8" s="212"/>
      <c r="Q8" s="212"/>
      <c r="R8" s="212"/>
      <c r="S8" s="212"/>
      <c r="T8" s="212"/>
      <c r="U8" s="213"/>
      <c r="W8" s="204"/>
    </row>
    <row r="9" spans="1:27" ht="18" customHeight="1">
      <c r="B9" s="210"/>
      <c r="C9" s="212" t="s">
        <v>1054</v>
      </c>
      <c r="D9" s="212"/>
      <c r="E9" s="212"/>
      <c r="F9" s="212"/>
      <c r="G9" s="212"/>
      <c r="H9" s="212"/>
      <c r="I9" s="212"/>
      <c r="J9" s="212"/>
      <c r="K9" s="212"/>
      <c r="L9" s="212"/>
      <c r="M9" s="212"/>
      <c r="N9" s="212"/>
      <c r="O9" s="212"/>
      <c r="P9" s="212"/>
      <c r="Q9" s="212"/>
      <c r="R9" s="212"/>
      <c r="S9" s="212"/>
      <c r="T9" s="212"/>
      <c r="U9" s="213"/>
      <c r="W9" s="204"/>
    </row>
    <row r="10" spans="1:27" ht="6" customHeight="1">
      <c r="B10" s="210"/>
      <c r="C10" s="212"/>
      <c r="D10" s="212"/>
      <c r="E10" s="212"/>
      <c r="F10" s="212"/>
      <c r="G10" s="212"/>
      <c r="H10" s="212"/>
      <c r="I10" s="212"/>
      <c r="J10" s="212"/>
      <c r="K10" s="212"/>
      <c r="L10" s="212"/>
      <c r="M10" s="212"/>
      <c r="N10" s="212"/>
      <c r="O10" s="212"/>
      <c r="P10" s="212"/>
      <c r="Q10" s="212"/>
      <c r="R10" s="212"/>
      <c r="S10" s="212"/>
      <c r="T10" s="212"/>
      <c r="U10" s="213"/>
      <c r="W10" s="204"/>
    </row>
    <row r="11" spans="1:27" ht="18" customHeight="1">
      <c r="B11" s="210"/>
      <c r="C11" s="202" t="s">
        <v>873</v>
      </c>
      <c r="D11" s="212"/>
      <c r="E11" s="212"/>
      <c r="F11" s="212"/>
      <c r="G11" s="212"/>
      <c r="H11" s="212"/>
      <c r="I11" s="212"/>
      <c r="J11" s="212"/>
      <c r="K11" s="212"/>
      <c r="L11" s="212"/>
      <c r="M11" s="212"/>
      <c r="N11" s="212"/>
      <c r="O11" s="212"/>
      <c r="P11" s="212"/>
      <c r="Q11" s="212"/>
      <c r="R11" s="212"/>
      <c r="S11" s="212"/>
      <c r="T11" s="212"/>
      <c r="U11" s="213"/>
      <c r="W11" s="204"/>
    </row>
    <row r="12" spans="1:27" ht="18" customHeight="1">
      <c r="B12" s="210"/>
      <c r="C12" s="202" t="s">
        <v>874</v>
      </c>
      <c r="D12" s="212"/>
      <c r="E12" s="212"/>
      <c r="F12" s="212"/>
      <c r="G12" s="212"/>
      <c r="H12" s="212"/>
      <c r="I12" s="212"/>
      <c r="J12" s="212"/>
      <c r="K12" s="212"/>
      <c r="L12" s="212"/>
      <c r="M12" s="212"/>
      <c r="N12" s="212"/>
      <c r="O12" s="212"/>
      <c r="P12" s="212"/>
      <c r="Q12" s="212"/>
      <c r="R12" s="212"/>
      <c r="S12" s="212"/>
      <c r="T12" s="212"/>
      <c r="U12" s="213"/>
      <c r="W12" s="204"/>
    </row>
    <row r="13" spans="1:27" ht="18" customHeight="1">
      <c r="B13" s="210"/>
      <c r="C13" s="212" t="s">
        <v>875</v>
      </c>
      <c r="D13" s="212"/>
      <c r="E13" s="212"/>
      <c r="F13" s="212"/>
      <c r="G13" s="212"/>
      <c r="H13" s="212"/>
      <c r="I13" s="212"/>
      <c r="J13" s="212"/>
      <c r="K13" s="212"/>
      <c r="L13" s="212"/>
      <c r="M13" s="212"/>
      <c r="N13" s="212"/>
      <c r="O13" s="212"/>
      <c r="P13" s="212"/>
      <c r="Q13" s="212"/>
      <c r="R13" s="212"/>
      <c r="S13" s="212"/>
      <c r="T13" s="212"/>
      <c r="U13" s="213"/>
      <c r="W13" s="204"/>
    </row>
    <row r="14" spans="1:27" ht="18" customHeight="1">
      <c r="B14" s="210"/>
      <c r="C14" s="212" t="s">
        <v>876</v>
      </c>
      <c r="D14" s="212"/>
      <c r="E14" s="212"/>
      <c r="F14" s="212"/>
      <c r="G14" s="212"/>
      <c r="H14" s="212"/>
      <c r="I14" s="212"/>
      <c r="J14" s="212"/>
      <c r="K14" s="212"/>
      <c r="L14" s="212"/>
      <c r="M14" s="212"/>
      <c r="N14" s="212"/>
      <c r="O14" s="212"/>
      <c r="P14" s="212"/>
      <c r="Q14" s="212"/>
      <c r="R14" s="212"/>
      <c r="S14" s="212"/>
      <c r="T14" s="212"/>
      <c r="U14" s="213"/>
      <c r="W14" s="204"/>
    </row>
    <row r="15" spans="1:27" ht="6" customHeight="1">
      <c r="B15" s="210"/>
      <c r="C15" s="212"/>
      <c r="D15" s="212"/>
      <c r="E15" s="212"/>
      <c r="F15" s="212"/>
      <c r="G15" s="212"/>
      <c r="H15" s="212"/>
      <c r="I15" s="212"/>
      <c r="J15" s="212"/>
      <c r="K15" s="212"/>
      <c r="L15" s="212"/>
      <c r="M15" s="212"/>
      <c r="N15" s="212"/>
      <c r="O15" s="212"/>
      <c r="P15" s="212"/>
      <c r="Q15" s="212"/>
      <c r="R15" s="212"/>
      <c r="S15" s="212"/>
      <c r="T15" s="212"/>
      <c r="U15" s="213"/>
      <c r="W15" s="204"/>
    </row>
    <row r="16" spans="1:27" ht="18" customHeight="1">
      <c r="B16" s="210"/>
      <c r="C16" s="202" t="s">
        <v>887</v>
      </c>
      <c r="D16" s="212"/>
      <c r="E16" s="212"/>
      <c r="F16" s="212"/>
      <c r="G16" s="212"/>
      <c r="H16" s="212"/>
      <c r="I16" s="212"/>
      <c r="J16" s="212"/>
      <c r="K16" s="212"/>
      <c r="L16" s="212"/>
      <c r="M16" s="212"/>
      <c r="N16" s="212"/>
      <c r="O16" s="212"/>
      <c r="P16" s="212"/>
      <c r="Q16" s="212"/>
      <c r="R16" s="212"/>
      <c r="S16" s="212"/>
      <c r="T16" s="212"/>
      <c r="U16" s="213"/>
      <c r="W16" s="204"/>
    </row>
    <row r="17" spans="2:24" ht="18" customHeight="1">
      <c r="B17" s="210"/>
      <c r="C17" s="212" t="s">
        <v>888</v>
      </c>
      <c r="D17" s="212"/>
      <c r="E17" s="212"/>
      <c r="F17" s="212"/>
      <c r="G17" s="212"/>
      <c r="H17" s="212"/>
      <c r="I17" s="212"/>
      <c r="J17" s="212"/>
      <c r="K17" s="212"/>
      <c r="L17" s="212"/>
      <c r="M17" s="212"/>
      <c r="N17" s="212"/>
      <c r="O17" s="212"/>
      <c r="P17" s="212"/>
      <c r="Q17" s="212"/>
      <c r="R17" s="212"/>
      <c r="S17" s="212"/>
      <c r="T17" s="212"/>
      <c r="U17" s="213"/>
      <c r="W17" s="204"/>
    </row>
    <row r="18" spans="2:24" ht="18" customHeight="1">
      <c r="B18" s="210"/>
      <c r="C18" s="212" t="s">
        <v>889</v>
      </c>
      <c r="D18" s="212"/>
      <c r="E18" s="212"/>
      <c r="F18" s="212"/>
      <c r="G18" s="212"/>
      <c r="H18" s="212"/>
      <c r="I18" s="212"/>
      <c r="J18" s="212"/>
      <c r="K18" s="212"/>
      <c r="L18" s="212"/>
      <c r="M18" s="212"/>
      <c r="N18" s="212"/>
      <c r="O18" s="212"/>
      <c r="P18" s="212"/>
      <c r="Q18" s="212"/>
      <c r="R18" s="212"/>
      <c r="S18" s="212"/>
      <c r="T18" s="212"/>
      <c r="U18" s="213"/>
      <c r="W18" s="204"/>
    </row>
    <row r="19" spans="2:24" ht="18" customHeight="1">
      <c r="B19" s="210"/>
      <c r="C19" s="212" t="s">
        <v>890</v>
      </c>
      <c r="D19" s="212"/>
      <c r="E19" s="212"/>
      <c r="F19" s="212"/>
      <c r="G19" s="212"/>
      <c r="H19" s="212"/>
      <c r="I19" s="212"/>
      <c r="J19" s="212"/>
      <c r="K19" s="212"/>
      <c r="L19" s="212"/>
      <c r="M19" s="212"/>
      <c r="N19" s="212"/>
      <c r="O19" s="212"/>
      <c r="P19" s="212"/>
      <c r="Q19" s="212"/>
      <c r="R19" s="212"/>
      <c r="S19" s="212"/>
      <c r="T19" s="212"/>
      <c r="U19" s="213"/>
      <c r="W19" s="204"/>
      <c r="X19" s="504"/>
    </row>
    <row r="20" spans="2:24" ht="6" customHeight="1">
      <c r="B20" s="210"/>
      <c r="C20" s="212"/>
      <c r="D20" s="212"/>
      <c r="E20" s="212"/>
      <c r="F20" s="212"/>
      <c r="G20" s="212"/>
      <c r="H20" s="212"/>
      <c r="I20" s="212"/>
      <c r="J20" s="212"/>
      <c r="K20" s="212"/>
      <c r="L20" s="212"/>
      <c r="M20" s="212"/>
      <c r="N20" s="212"/>
      <c r="O20" s="212"/>
      <c r="P20" s="212"/>
      <c r="Q20" s="212"/>
      <c r="R20" s="212"/>
      <c r="S20" s="212"/>
      <c r="T20" s="212"/>
      <c r="U20" s="213"/>
      <c r="W20" s="204"/>
      <c r="X20" s="504"/>
    </row>
    <row r="21" spans="2:24" ht="18" customHeight="1">
      <c r="B21" s="210"/>
      <c r="C21" s="202" t="s">
        <v>863</v>
      </c>
      <c r="D21" s="212"/>
      <c r="E21" s="212"/>
      <c r="F21" s="212"/>
      <c r="G21" s="212"/>
      <c r="H21" s="212"/>
      <c r="I21" s="212"/>
      <c r="J21" s="212"/>
      <c r="K21" s="212"/>
      <c r="L21" s="212"/>
      <c r="M21" s="212"/>
      <c r="N21" s="212"/>
      <c r="O21" s="212"/>
      <c r="P21" s="212"/>
      <c r="Q21" s="212"/>
      <c r="R21" s="212"/>
      <c r="S21" s="212"/>
      <c r="T21" s="212"/>
      <c r="U21" s="213"/>
      <c r="W21" s="204"/>
      <c r="X21" s="504"/>
    </row>
    <row r="22" spans="2:24" ht="18" customHeight="1">
      <c r="B22" s="210"/>
      <c r="C22" s="202" t="s">
        <v>864</v>
      </c>
      <c r="D22" s="212"/>
      <c r="E22" s="212"/>
      <c r="F22" s="212"/>
      <c r="G22" s="212"/>
      <c r="H22" s="212"/>
      <c r="I22" s="212"/>
      <c r="J22" s="212"/>
      <c r="K22" s="212"/>
      <c r="L22" s="212"/>
      <c r="M22" s="212"/>
      <c r="N22" s="212"/>
      <c r="O22" s="212"/>
      <c r="P22" s="212"/>
      <c r="Q22" s="212"/>
      <c r="R22" s="212"/>
      <c r="S22" s="212"/>
      <c r="T22" s="212"/>
      <c r="U22" s="213"/>
      <c r="W22" s="204"/>
      <c r="X22" s="504"/>
    </row>
    <row r="23" spans="2:24" ht="18" customHeight="1">
      <c r="B23" s="210"/>
      <c r="C23" s="202" t="s">
        <v>865</v>
      </c>
      <c r="D23" s="212"/>
      <c r="E23" s="212"/>
      <c r="F23" s="212"/>
      <c r="G23" s="212"/>
      <c r="H23" s="212"/>
      <c r="I23" s="212"/>
      <c r="J23" s="212"/>
      <c r="K23" s="212"/>
      <c r="L23" s="212"/>
      <c r="M23" s="212"/>
      <c r="N23" s="212"/>
      <c r="O23" s="212"/>
      <c r="P23" s="212"/>
      <c r="Q23" s="212"/>
      <c r="R23" s="212"/>
      <c r="S23" s="212"/>
      <c r="T23" s="212"/>
      <c r="U23" s="213"/>
      <c r="W23" s="204"/>
      <c r="X23" s="504"/>
    </row>
    <row r="24" spans="2:24" ht="18" customHeight="1">
      <c r="B24" s="210"/>
      <c r="C24" s="202" t="s">
        <v>866</v>
      </c>
      <c r="D24" s="212"/>
      <c r="E24" s="212"/>
      <c r="F24" s="212"/>
      <c r="G24" s="212"/>
      <c r="H24" s="212"/>
      <c r="I24" s="212"/>
      <c r="J24" s="212"/>
      <c r="K24" s="212"/>
      <c r="L24" s="212"/>
      <c r="M24" s="212"/>
      <c r="N24" s="212"/>
      <c r="O24" s="212"/>
      <c r="P24" s="212"/>
      <c r="Q24" s="212"/>
      <c r="R24" s="212"/>
      <c r="S24" s="212"/>
      <c r="T24" s="212"/>
      <c r="U24" s="213"/>
      <c r="W24" s="204"/>
      <c r="X24" s="504"/>
    </row>
    <row r="25" spans="2:24" ht="6" customHeight="1">
      <c r="B25" s="210"/>
      <c r="C25" s="212"/>
      <c r="D25" s="212"/>
      <c r="E25" s="212"/>
      <c r="F25" s="212"/>
      <c r="G25" s="212"/>
      <c r="H25" s="212"/>
      <c r="I25" s="212"/>
      <c r="J25" s="212"/>
      <c r="K25" s="212"/>
      <c r="L25" s="212"/>
      <c r="M25" s="212"/>
      <c r="N25" s="212"/>
      <c r="O25" s="212"/>
      <c r="P25" s="212"/>
      <c r="Q25" s="212"/>
      <c r="R25" s="212"/>
      <c r="S25" s="212"/>
      <c r="T25" s="212"/>
      <c r="U25" s="213"/>
      <c r="W25" s="204"/>
      <c r="X25" s="504"/>
    </row>
    <row r="26" spans="2:24" ht="18" customHeight="1">
      <c r="B26" s="210"/>
      <c r="C26" s="202" t="s">
        <v>493</v>
      </c>
      <c r="D26" s="212"/>
      <c r="E26" s="212"/>
      <c r="F26" s="212"/>
      <c r="G26" s="212"/>
      <c r="H26" s="212"/>
      <c r="I26" s="212"/>
      <c r="J26" s="212"/>
      <c r="K26" s="212"/>
      <c r="L26" s="212"/>
      <c r="M26" s="212"/>
      <c r="N26" s="212"/>
      <c r="O26" s="212"/>
      <c r="P26" s="212"/>
      <c r="Q26" s="212"/>
      <c r="R26" s="212"/>
      <c r="S26" s="212"/>
      <c r="T26" s="212"/>
      <c r="U26" s="213"/>
      <c r="W26" s="204"/>
      <c r="X26" s="504"/>
    </row>
    <row r="27" spans="2:24" ht="12" customHeight="1">
      <c r="B27" s="210"/>
      <c r="C27" s="212"/>
      <c r="D27" s="212"/>
      <c r="E27" s="212"/>
      <c r="F27" s="212"/>
      <c r="G27" s="212"/>
      <c r="H27" s="212"/>
      <c r="I27" s="212"/>
      <c r="J27" s="212"/>
      <c r="K27" s="212"/>
      <c r="L27" s="212"/>
      <c r="M27" s="212"/>
      <c r="N27" s="212"/>
      <c r="O27" s="212"/>
      <c r="P27" s="212"/>
      <c r="Q27" s="212"/>
      <c r="R27" s="212"/>
      <c r="S27" s="212"/>
      <c r="T27" s="212"/>
      <c r="U27" s="213"/>
      <c r="W27" s="204"/>
      <c r="X27" s="504"/>
    </row>
    <row r="28" spans="2:24" ht="18" customHeight="1">
      <c r="B28" s="210"/>
      <c r="C28" s="489" t="s">
        <v>457</v>
      </c>
      <c r="D28" s="212"/>
      <c r="E28" s="212"/>
      <c r="F28" s="212"/>
      <c r="G28" s="212"/>
      <c r="H28" s="212"/>
      <c r="I28" s="212"/>
      <c r="J28" s="212"/>
      <c r="K28" s="212"/>
      <c r="L28" s="212"/>
      <c r="M28" s="212"/>
      <c r="N28" s="212"/>
      <c r="O28" s="212"/>
      <c r="P28" s="212"/>
      <c r="Q28" s="212"/>
      <c r="R28" s="212"/>
      <c r="S28" s="212"/>
      <c r="T28" s="212"/>
      <c r="U28" s="213"/>
      <c r="W28" s="204"/>
      <c r="X28" s="504"/>
    </row>
    <row r="29" spans="2:24" ht="18" customHeight="1">
      <c r="B29" s="210"/>
      <c r="C29" s="212" t="s">
        <v>475</v>
      </c>
      <c r="D29" s="212"/>
      <c r="E29" s="212"/>
      <c r="F29" s="212"/>
      <c r="G29" s="212"/>
      <c r="H29" s="212"/>
      <c r="I29" s="212"/>
      <c r="J29" s="212"/>
      <c r="K29" s="212"/>
      <c r="L29" s="212"/>
      <c r="M29" s="212"/>
      <c r="N29" s="212"/>
      <c r="O29" s="212"/>
      <c r="P29" s="212"/>
      <c r="Q29" s="212"/>
      <c r="R29" s="212"/>
      <c r="S29" s="212"/>
      <c r="T29" s="212"/>
      <c r="U29" s="213"/>
      <c r="W29" s="204"/>
      <c r="X29" s="504"/>
    </row>
    <row r="30" spans="2:24" ht="18" customHeight="1">
      <c r="B30" s="210"/>
      <c r="C30" s="202" t="s">
        <v>476</v>
      </c>
      <c r="D30" s="212"/>
      <c r="E30" s="212"/>
      <c r="F30" s="212"/>
      <c r="G30" s="212"/>
      <c r="H30" s="212"/>
      <c r="I30" s="212"/>
      <c r="J30" s="212"/>
      <c r="K30" s="212"/>
      <c r="L30" s="212"/>
      <c r="M30" s="212"/>
      <c r="N30" s="212"/>
      <c r="O30" s="212"/>
      <c r="P30" s="212"/>
      <c r="Q30" s="212"/>
      <c r="R30" s="212"/>
      <c r="S30" s="212"/>
      <c r="T30" s="212"/>
      <c r="U30" s="213"/>
      <c r="W30" s="204"/>
      <c r="X30" s="504"/>
    </row>
    <row r="31" spans="2:24" ht="18" customHeight="1">
      <c r="B31" s="210"/>
      <c r="C31" s="212" t="s">
        <v>477</v>
      </c>
      <c r="D31" s="212"/>
      <c r="E31" s="212"/>
      <c r="F31" s="212"/>
      <c r="G31" s="212"/>
      <c r="H31" s="212"/>
      <c r="I31" s="212"/>
      <c r="J31" s="212"/>
      <c r="K31" s="212"/>
      <c r="L31" s="212"/>
      <c r="M31" s="212"/>
      <c r="N31" s="212"/>
      <c r="O31" s="212"/>
      <c r="P31" s="212"/>
      <c r="Q31" s="212"/>
      <c r="R31" s="212"/>
      <c r="S31" s="212"/>
      <c r="T31" s="212"/>
      <c r="U31" s="213"/>
      <c r="W31" s="204"/>
      <c r="X31" s="504"/>
    </row>
    <row r="32" spans="2:24" ht="6" customHeight="1">
      <c r="B32" s="210"/>
      <c r="C32" s="212"/>
      <c r="D32" s="212"/>
      <c r="E32" s="212"/>
      <c r="F32" s="212"/>
      <c r="G32" s="212"/>
      <c r="H32" s="212"/>
      <c r="I32" s="212"/>
      <c r="J32" s="212"/>
      <c r="K32" s="212"/>
      <c r="L32" s="212"/>
      <c r="M32" s="212"/>
      <c r="N32" s="212"/>
      <c r="O32" s="212"/>
      <c r="P32" s="212"/>
      <c r="Q32" s="212"/>
      <c r="R32" s="212"/>
      <c r="S32" s="212"/>
      <c r="T32" s="212"/>
      <c r="U32" s="213"/>
      <c r="W32" s="204"/>
      <c r="X32" s="504"/>
    </row>
    <row r="33" spans="2:24" ht="18" customHeight="1">
      <c r="B33" s="210"/>
      <c r="C33" s="202" t="s">
        <v>459</v>
      </c>
      <c r="D33" s="212"/>
      <c r="E33" s="212"/>
      <c r="F33" s="212"/>
      <c r="G33" s="212"/>
      <c r="H33" s="212"/>
      <c r="I33" s="212"/>
      <c r="J33" s="212"/>
      <c r="K33" s="212"/>
      <c r="L33" s="212"/>
      <c r="M33" s="212"/>
      <c r="N33" s="212"/>
      <c r="O33" s="212"/>
      <c r="P33" s="212"/>
      <c r="Q33" s="212"/>
      <c r="R33" s="212"/>
      <c r="S33" s="212"/>
      <c r="T33" s="212"/>
      <c r="U33" s="213"/>
      <c r="W33" s="204"/>
      <c r="X33" s="504"/>
    </row>
    <row r="34" spans="2:24" ht="18" customHeight="1">
      <c r="B34" s="210"/>
      <c r="C34" s="202" t="s">
        <v>460</v>
      </c>
      <c r="D34" s="212"/>
      <c r="E34" s="212"/>
      <c r="F34" s="212"/>
      <c r="G34" s="212"/>
      <c r="H34" s="212"/>
      <c r="I34" s="212"/>
      <c r="J34" s="212"/>
      <c r="K34" s="212"/>
      <c r="L34" s="212"/>
      <c r="M34" s="212"/>
      <c r="N34" s="212"/>
      <c r="O34" s="212"/>
      <c r="P34" s="212"/>
      <c r="Q34" s="212"/>
      <c r="R34" s="212"/>
      <c r="S34" s="212"/>
      <c r="T34" s="212"/>
      <c r="U34" s="213"/>
      <c r="W34" s="204"/>
      <c r="X34" s="504"/>
    </row>
    <row r="35" spans="2:24" ht="18" customHeight="1">
      <c r="B35" s="210"/>
      <c r="C35" s="202" t="s">
        <v>479</v>
      </c>
      <c r="D35" s="212"/>
      <c r="E35" s="212"/>
      <c r="F35" s="212"/>
      <c r="G35" s="212"/>
      <c r="H35" s="212"/>
      <c r="I35" s="212"/>
      <c r="J35" s="212"/>
      <c r="K35" s="212"/>
      <c r="L35" s="212"/>
      <c r="M35" s="212"/>
      <c r="N35" s="212"/>
      <c r="O35" s="212"/>
      <c r="P35" s="212"/>
      <c r="Q35" s="212"/>
      <c r="R35" s="212"/>
      <c r="S35" s="212"/>
      <c r="T35" s="212"/>
      <c r="U35" s="213"/>
      <c r="W35" s="204"/>
      <c r="X35" s="504"/>
    </row>
    <row r="36" spans="2:24" ht="18" customHeight="1">
      <c r="B36" s="210"/>
      <c r="C36" s="202" t="s">
        <v>458</v>
      </c>
      <c r="D36" s="212"/>
      <c r="E36" s="212"/>
      <c r="F36" s="212"/>
      <c r="G36" s="212"/>
      <c r="H36" s="212"/>
      <c r="I36" s="212"/>
      <c r="J36" s="212"/>
      <c r="K36" s="212"/>
      <c r="L36" s="212"/>
      <c r="M36" s="212"/>
      <c r="N36" s="212"/>
      <c r="O36" s="212"/>
      <c r="P36" s="212"/>
      <c r="Q36" s="212"/>
      <c r="R36" s="212"/>
      <c r="S36" s="212"/>
      <c r="T36" s="212"/>
      <c r="U36" s="213"/>
      <c r="W36" s="204"/>
      <c r="X36" s="504"/>
    </row>
    <row r="37" spans="2:24" ht="6" customHeight="1">
      <c r="B37" s="210"/>
      <c r="C37" s="202"/>
      <c r="D37" s="212"/>
      <c r="E37" s="212"/>
      <c r="F37" s="212"/>
      <c r="G37" s="212"/>
      <c r="H37" s="212"/>
      <c r="I37" s="212"/>
      <c r="J37" s="212"/>
      <c r="K37" s="212"/>
      <c r="L37" s="212"/>
      <c r="M37" s="212"/>
      <c r="N37" s="212"/>
      <c r="O37" s="212"/>
      <c r="P37" s="212"/>
      <c r="Q37" s="212"/>
      <c r="R37" s="212"/>
      <c r="S37" s="212"/>
      <c r="T37" s="212"/>
      <c r="U37" s="213"/>
      <c r="W37" s="204"/>
      <c r="X37" s="504"/>
    </row>
    <row r="38" spans="2:24" ht="18" customHeight="1">
      <c r="B38" s="210"/>
      <c r="C38" s="202" t="s">
        <v>1064</v>
      </c>
      <c r="D38" s="212"/>
      <c r="E38" s="212"/>
      <c r="F38" s="212"/>
      <c r="G38" s="212"/>
      <c r="H38" s="212"/>
      <c r="I38" s="212"/>
      <c r="J38" s="212"/>
      <c r="K38" s="212"/>
      <c r="L38" s="212"/>
      <c r="M38" s="212"/>
      <c r="N38" s="212"/>
      <c r="O38" s="212"/>
      <c r="P38" s="212"/>
      <c r="Q38" s="212"/>
      <c r="R38" s="212"/>
      <c r="S38" s="212"/>
      <c r="T38" s="212"/>
      <c r="U38" s="213"/>
      <c r="W38" s="204"/>
      <c r="X38" s="504"/>
    </row>
    <row r="39" spans="2:24" ht="18" customHeight="1">
      <c r="B39" s="210"/>
      <c r="C39" s="202" t="s">
        <v>484</v>
      </c>
      <c r="D39" s="212"/>
      <c r="E39" s="212"/>
      <c r="F39" s="212"/>
      <c r="G39" s="212"/>
      <c r="H39" s="212"/>
      <c r="I39" s="212"/>
      <c r="J39" s="212"/>
      <c r="K39" s="212"/>
      <c r="L39" s="212"/>
      <c r="M39" s="212"/>
      <c r="N39" s="212"/>
      <c r="O39" s="212"/>
      <c r="P39" s="212"/>
      <c r="Q39" s="212"/>
      <c r="R39" s="212"/>
      <c r="S39" s="212"/>
      <c r="T39" s="212"/>
      <c r="U39" s="213"/>
      <c r="W39" s="204"/>
      <c r="X39" s="504"/>
    </row>
    <row r="40" spans="2:24" ht="6" customHeight="1">
      <c r="B40" s="210"/>
      <c r="C40" s="202"/>
      <c r="D40" s="212"/>
      <c r="E40" s="212"/>
      <c r="F40" s="212"/>
      <c r="G40" s="212"/>
      <c r="H40" s="212"/>
      <c r="I40" s="212"/>
      <c r="J40" s="212"/>
      <c r="K40" s="212"/>
      <c r="L40" s="212"/>
      <c r="M40" s="212"/>
      <c r="N40" s="212"/>
      <c r="O40" s="212"/>
      <c r="P40" s="212"/>
      <c r="Q40" s="212"/>
      <c r="R40" s="212"/>
      <c r="S40" s="212"/>
      <c r="T40" s="212"/>
      <c r="U40" s="213"/>
      <c r="W40" s="204"/>
      <c r="X40" s="504"/>
    </row>
    <row r="41" spans="2:24" ht="18" customHeight="1">
      <c r="B41" s="210"/>
      <c r="C41" s="202" t="s">
        <v>461</v>
      </c>
      <c r="D41" s="212"/>
      <c r="E41" s="212"/>
      <c r="F41" s="212"/>
      <c r="G41" s="212"/>
      <c r="H41" s="212"/>
      <c r="I41" s="212"/>
      <c r="J41" s="212"/>
      <c r="K41" s="212"/>
      <c r="L41" s="212"/>
      <c r="M41" s="212"/>
      <c r="N41" s="212"/>
      <c r="O41" s="212"/>
      <c r="P41" s="212"/>
      <c r="Q41" s="212"/>
      <c r="R41" s="212"/>
      <c r="S41" s="212"/>
      <c r="T41" s="212"/>
      <c r="U41" s="213"/>
      <c r="W41" s="204"/>
      <c r="X41" s="504"/>
    </row>
    <row r="42" spans="2:24" ht="18" customHeight="1">
      <c r="B42" s="210"/>
      <c r="C42" s="202" t="s">
        <v>462</v>
      </c>
      <c r="D42" s="212"/>
      <c r="E42" s="212"/>
      <c r="F42" s="212"/>
      <c r="G42" s="212"/>
      <c r="H42" s="212"/>
      <c r="I42" s="212"/>
      <c r="J42" s="212"/>
      <c r="K42" s="212"/>
      <c r="L42" s="212"/>
      <c r="M42" s="212"/>
      <c r="N42" s="212"/>
      <c r="O42" s="212"/>
      <c r="P42" s="212"/>
      <c r="Q42" s="212"/>
      <c r="R42" s="212"/>
      <c r="S42" s="212"/>
      <c r="T42" s="212"/>
      <c r="U42" s="213"/>
      <c r="W42" s="204"/>
      <c r="X42" s="504"/>
    </row>
    <row r="43" spans="2:24" ht="12" customHeight="1">
      <c r="B43" s="210"/>
      <c r="C43" s="212"/>
      <c r="D43" s="212"/>
      <c r="E43" s="212"/>
      <c r="F43" s="212"/>
      <c r="G43" s="212"/>
      <c r="H43" s="212"/>
      <c r="I43" s="212"/>
      <c r="J43" s="212"/>
      <c r="K43" s="212"/>
      <c r="L43" s="212"/>
      <c r="M43" s="212"/>
      <c r="N43" s="212"/>
      <c r="O43" s="212"/>
      <c r="P43" s="212"/>
      <c r="Q43" s="212"/>
      <c r="R43" s="212"/>
      <c r="S43" s="212"/>
      <c r="T43" s="212"/>
      <c r="U43" s="213"/>
      <c r="W43" s="204"/>
      <c r="X43" s="504"/>
    </row>
    <row r="44" spans="2:24" ht="18" customHeight="1">
      <c r="B44" s="210"/>
      <c r="C44" s="489" t="s">
        <v>463</v>
      </c>
      <c r="D44" s="212"/>
      <c r="E44" s="212"/>
      <c r="F44" s="212"/>
      <c r="G44" s="212"/>
      <c r="H44" s="212"/>
      <c r="I44" s="212"/>
      <c r="J44" s="212"/>
      <c r="K44" s="212"/>
      <c r="L44" s="212"/>
      <c r="M44" s="212"/>
      <c r="N44" s="212"/>
      <c r="O44" s="212"/>
      <c r="P44" s="212"/>
      <c r="Q44" s="212"/>
      <c r="R44" s="212"/>
      <c r="S44" s="212"/>
      <c r="T44" s="212"/>
      <c r="U44" s="213"/>
      <c r="W44" s="204"/>
      <c r="X44" s="504"/>
    </row>
    <row r="45" spans="2:24" ht="18" customHeight="1">
      <c r="B45" s="210"/>
      <c r="C45" s="212" t="s">
        <v>740</v>
      </c>
      <c r="D45" s="212"/>
      <c r="E45" s="212"/>
      <c r="F45" s="212"/>
      <c r="G45" s="212"/>
      <c r="H45" s="212"/>
      <c r="I45" s="212"/>
      <c r="J45" s="212"/>
      <c r="K45" s="212"/>
      <c r="L45" s="212"/>
      <c r="M45" s="212"/>
      <c r="N45" s="212"/>
      <c r="O45" s="212"/>
      <c r="P45" s="212"/>
      <c r="Q45" s="212"/>
      <c r="R45" s="212"/>
      <c r="S45" s="212"/>
      <c r="T45" s="212"/>
      <c r="U45" s="213"/>
      <c r="W45" s="204"/>
      <c r="X45" s="504"/>
    </row>
    <row r="46" spans="2:24" ht="18" customHeight="1">
      <c r="B46" s="210"/>
      <c r="C46" s="212" t="s">
        <v>1041</v>
      </c>
      <c r="D46" s="212"/>
      <c r="E46" s="212"/>
      <c r="F46" s="212"/>
      <c r="G46" s="212"/>
      <c r="H46" s="212"/>
      <c r="I46" s="212"/>
      <c r="J46" s="212"/>
      <c r="K46" s="212"/>
      <c r="L46" s="212"/>
      <c r="M46" s="212"/>
      <c r="N46" s="212"/>
      <c r="O46" s="212"/>
      <c r="P46" s="212"/>
      <c r="Q46" s="212"/>
      <c r="R46" s="212"/>
      <c r="S46" s="212"/>
      <c r="T46" s="212"/>
      <c r="U46" s="213"/>
      <c r="W46" s="204"/>
      <c r="X46" s="504"/>
    </row>
    <row r="47" spans="2:24" ht="18" customHeight="1">
      <c r="B47" s="210"/>
      <c r="C47" s="212" t="s">
        <v>1042</v>
      </c>
      <c r="D47" s="212"/>
      <c r="E47" s="212"/>
      <c r="F47" s="212"/>
      <c r="G47" s="212"/>
      <c r="H47" s="212"/>
      <c r="I47" s="212"/>
      <c r="J47" s="212"/>
      <c r="K47" s="212"/>
      <c r="L47" s="212"/>
      <c r="M47" s="212"/>
      <c r="N47" s="212"/>
      <c r="O47" s="212"/>
      <c r="P47" s="212"/>
      <c r="Q47" s="212"/>
      <c r="R47" s="212"/>
      <c r="S47" s="212"/>
      <c r="T47" s="212"/>
      <c r="U47" s="213"/>
      <c r="W47" s="204"/>
      <c r="X47" s="504"/>
    </row>
    <row r="48" spans="2:24" ht="18" customHeight="1">
      <c r="B48" s="210"/>
      <c r="C48" s="212" t="s">
        <v>465</v>
      </c>
      <c r="D48" s="212"/>
      <c r="E48" s="212"/>
      <c r="F48" s="212"/>
      <c r="G48" s="212"/>
      <c r="H48" s="212"/>
      <c r="I48" s="212"/>
      <c r="J48" s="212"/>
      <c r="K48" s="212"/>
      <c r="L48" s="212"/>
      <c r="M48" s="212"/>
      <c r="N48" s="212"/>
      <c r="O48" s="212"/>
      <c r="P48" s="212"/>
      <c r="Q48" s="212"/>
      <c r="R48" s="212"/>
      <c r="S48" s="212"/>
      <c r="T48" s="212"/>
      <c r="U48" s="213"/>
      <c r="W48" s="204"/>
      <c r="X48" s="504"/>
    </row>
    <row r="49" spans="1:24" ht="18" customHeight="1">
      <c r="B49" s="210"/>
      <c r="C49" s="212" t="s">
        <v>1056</v>
      </c>
      <c r="D49" s="212"/>
      <c r="E49" s="212"/>
      <c r="F49" s="212"/>
      <c r="G49" s="212"/>
      <c r="H49" s="212"/>
      <c r="I49" s="212"/>
      <c r="J49" s="212"/>
      <c r="K49" s="212"/>
      <c r="L49" s="212"/>
      <c r="M49" s="212"/>
      <c r="N49" s="212"/>
      <c r="O49" s="212"/>
      <c r="P49" s="212"/>
      <c r="Q49" s="212"/>
      <c r="R49" s="212"/>
      <c r="S49" s="212"/>
      <c r="T49" s="212"/>
      <c r="U49" s="213"/>
      <c r="W49" s="204"/>
      <c r="X49" s="504"/>
    </row>
    <row r="50" spans="1:24" ht="6" customHeight="1">
      <c r="B50" s="210"/>
      <c r="C50" s="212"/>
      <c r="D50" s="212"/>
      <c r="E50" s="212"/>
      <c r="F50" s="212"/>
      <c r="G50" s="212"/>
      <c r="H50" s="212"/>
      <c r="I50" s="212"/>
      <c r="J50" s="212"/>
      <c r="K50" s="212"/>
      <c r="L50" s="212"/>
      <c r="M50" s="212"/>
      <c r="N50" s="212"/>
      <c r="O50" s="212"/>
      <c r="P50" s="212"/>
      <c r="Q50" s="212"/>
      <c r="R50" s="212"/>
      <c r="S50" s="212"/>
      <c r="T50" s="212"/>
      <c r="U50" s="213"/>
      <c r="W50" s="204"/>
      <c r="X50" s="504"/>
    </row>
    <row r="51" spans="1:24" ht="18" customHeight="1">
      <c r="B51" s="210"/>
      <c r="C51" s="212" t="s">
        <v>466</v>
      </c>
      <c r="D51" s="212"/>
      <c r="E51" s="212"/>
      <c r="F51" s="212"/>
      <c r="G51" s="212"/>
      <c r="H51" s="212"/>
      <c r="I51" s="212"/>
      <c r="J51" s="212"/>
      <c r="K51" s="212"/>
      <c r="L51" s="212"/>
      <c r="M51" s="212"/>
      <c r="N51" s="212"/>
      <c r="O51" s="212"/>
      <c r="P51" s="212"/>
      <c r="Q51" s="212"/>
      <c r="R51" s="212"/>
      <c r="S51" s="212"/>
      <c r="T51" s="212"/>
      <c r="U51" s="213"/>
      <c r="W51" s="204"/>
      <c r="X51" s="504"/>
    </row>
    <row r="52" spans="1:24" ht="14" customHeight="1" thickBot="1">
      <c r="B52" s="210"/>
      <c r="C52" s="212"/>
      <c r="D52" s="212"/>
      <c r="E52" s="212"/>
      <c r="F52" s="212"/>
      <c r="G52" s="212"/>
      <c r="H52" s="212"/>
      <c r="I52" s="212"/>
      <c r="J52" s="212"/>
      <c r="K52" s="212"/>
      <c r="L52" s="212"/>
      <c r="M52" s="212"/>
      <c r="N52" s="212"/>
      <c r="O52" s="212"/>
      <c r="P52" s="212"/>
      <c r="Q52" s="212"/>
      <c r="R52" s="212"/>
      <c r="S52" s="212"/>
      <c r="T52" s="212"/>
      <c r="U52" s="224"/>
      <c r="W52" s="204"/>
      <c r="X52" s="504"/>
    </row>
    <row r="53" spans="1:24" ht="18" customHeight="1" thickBot="1">
      <c r="B53" s="225"/>
      <c r="C53" s="225"/>
      <c r="D53" s="225"/>
      <c r="E53" s="225"/>
      <c r="F53" s="225"/>
      <c r="G53" s="225"/>
      <c r="H53" s="225"/>
      <c r="I53" s="225"/>
      <c r="J53" s="225"/>
      <c r="K53" s="225"/>
      <c r="L53" s="225"/>
      <c r="M53" s="225"/>
      <c r="N53" s="225"/>
      <c r="O53" s="225"/>
      <c r="P53" s="225"/>
      <c r="Q53" s="225"/>
      <c r="R53" s="225"/>
      <c r="S53" s="225"/>
      <c r="T53" s="225"/>
      <c r="U53" s="226"/>
      <c r="W53" s="204"/>
      <c r="X53" s="504"/>
    </row>
    <row r="54" spans="1:24" ht="44" customHeight="1" thickBot="1">
      <c r="A54" s="227"/>
      <c r="B54" s="672"/>
      <c r="C54" s="1126" t="s">
        <v>669</v>
      </c>
      <c r="D54" s="1126"/>
      <c r="E54" s="1126"/>
      <c r="F54" s="1126"/>
      <c r="G54" s="1126"/>
      <c r="H54" s="1126"/>
      <c r="I54" s="1126"/>
      <c r="J54" s="1126"/>
      <c r="K54" s="1126"/>
      <c r="L54" s="1126"/>
      <c r="M54" s="1126"/>
      <c r="N54" s="1126"/>
      <c r="O54" s="1126"/>
      <c r="P54" s="1126"/>
      <c r="Q54" s="1126"/>
      <c r="R54" s="1126"/>
      <c r="S54" s="1126"/>
      <c r="T54" s="1126"/>
      <c r="U54" s="673"/>
      <c r="W54" s="204"/>
      <c r="X54" s="504"/>
    </row>
    <row r="55" spans="1:24" ht="18" customHeight="1" thickBot="1">
      <c r="B55" s="656"/>
      <c r="C55" s="671"/>
      <c r="D55" s="656"/>
      <c r="E55" s="656"/>
      <c r="F55" s="656"/>
      <c r="G55" s="656"/>
      <c r="H55" s="656"/>
      <c r="I55" s="656"/>
      <c r="J55" s="656"/>
      <c r="K55" s="656"/>
      <c r="L55" s="656"/>
      <c r="M55" s="656"/>
      <c r="N55" s="656"/>
      <c r="O55" s="656"/>
      <c r="P55" s="656"/>
      <c r="Q55" s="656"/>
      <c r="R55" s="656"/>
      <c r="S55" s="656"/>
      <c r="T55" s="656"/>
      <c r="U55" s="656"/>
      <c r="W55" s="204"/>
      <c r="X55" s="504"/>
    </row>
    <row r="56" spans="1:24" ht="18" customHeight="1" thickBot="1">
      <c r="A56" s="227"/>
      <c r="U56" s="227"/>
      <c r="W56" s="204"/>
      <c r="X56" s="504"/>
    </row>
    <row r="57" spans="1:24" ht="40" customHeight="1">
      <c r="A57" s="227"/>
      <c r="C57" s="1048" t="s">
        <v>1055</v>
      </c>
      <c r="D57" s="1049"/>
      <c r="E57" s="1050"/>
      <c r="F57" s="1054"/>
      <c r="G57" s="1055"/>
      <c r="H57" s="1055"/>
      <c r="I57" s="1055"/>
      <c r="J57" s="1055"/>
      <c r="K57" s="1055"/>
      <c r="L57" s="1055"/>
      <c r="M57" s="1056"/>
      <c r="N57" s="490"/>
      <c r="O57" s="1123" t="s">
        <v>788</v>
      </c>
      <c r="P57" s="1124"/>
      <c r="Q57" s="1124"/>
      <c r="R57" s="1124"/>
      <c r="S57" s="1124"/>
      <c r="T57" s="1125"/>
      <c r="U57" s="227"/>
      <c r="W57" s="204"/>
      <c r="X57" s="504"/>
    </row>
    <row r="58" spans="1:24" ht="40" customHeight="1" thickBot="1">
      <c r="A58" s="227"/>
      <c r="C58" s="1051" t="s">
        <v>1057</v>
      </c>
      <c r="D58" s="1052"/>
      <c r="E58" s="1053"/>
      <c r="F58" s="1057"/>
      <c r="G58" s="1058"/>
      <c r="H58" s="1058"/>
      <c r="I58" s="1058"/>
      <c r="J58" s="1058"/>
      <c r="K58" s="1058"/>
      <c r="L58" s="1058"/>
      <c r="M58" s="1059"/>
      <c r="N58" s="490"/>
      <c r="O58" s="1120" t="s">
        <v>789</v>
      </c>
      <c r="P58" s="1121"/>
      <c r="Q58" s="1121"/>
      <c r="R58" s="1121"/>
      <c r="S58" s="1121"/>
      <c r="T58" s="1122"/>
      <c r="U58" s="227"/>
      <c r="W58" s="204"/>
      <c r="X58" s="504"/>
    </row>
    <row r="59" spans="1:24" ht="34" customHeight="1" thickBot="1">
      <c r="A59" s="227"/>
      <c r="N59" s="493"/>
      <c r="O59" s="1127" t="s">
        <v>886</v>
      </c>
      <c r="P59" s="1128"/>
      <c r="Q59" s="1128"/>
      <c r="R59" s="1128"/>
      <c r="S59" s="1128"/>
      <c r="T59" s="1129"/>
      <c r="U59" s="503"/>
      <c r="W59" s="204"/>
      <c r="X59" s="504"/>
    </row>
    <row r="60" spans="1:24" ht="34" customHeight="1" thickBot="1">
      <c r="A60" s="227"/>
      <c r="C60" s="494" t="s">
        <v>473</v>
      </c>
      <c r="O60" s="502"/>
      <c r="P60" s="502"/>
      <c r="Q60" s="502"/>
      <c r="R60" s="502"/>
      <c r="S60" s="502"/>
      <c r="T60" s="502"/>
      <c r="U60" s="227"/>
      <c r="W60" s="204"/>
      <c r="X60" s="504"/>
    </row>
    <row r="61" spans="1:24" ht="20" customHeight="1">
      <c r="A61" s="227"/>
      <c r="C61" s="1100" t="s">
        <v>468</v>
      </c>
      <c r="D61" s="1101"/>
      <c r="E61" s="1102"/>
      <c r="F61" s="1103" t="s">
        <v>3</v>
      </c>
      <c r="G61" s="1104"/>
      <c r="H61" s="1104"/>
      <c r="I61" s="1104"/>
      <c r="J61" s="1105"/>
      <c r="K61" s="1103" t="s">
        <v>7</v>
      </c>
      <c r="L61" s="1104"/>
      <c r="M61" s="1104"/>
      <c r="N61" s="1104"/>
      <c r="O61" s="1105"/>
      <c r="P61" s="1103" t="s">
        <v>741</v>
      </c>
      <c r="Q61" s="1104"/>
      <c r="R61" s="1104"/>
      <c r="S61" s="1104"/>
      <c r="T61" s="1105"/>
      <c r="U61" s="227"/>
      <c r="W61" s="204"/>
      <c r="X61" s="504"/>
    </row>
    <row r="62" spans="1:24" ht="20" customHeight="1" thickBot="1">
      <c r="A62" s="227"/>
      <c r="C62" s="1106" t="s">
        <v>469</v>
      </c>
      <c r="D62" s="1107"/>
      <c r="E62" s="1108"/>
      <c r="F62" s="1109" t="s">
        <v>470</v>
      </c>
      <c r="G62" s="1110"/>
      <c r="H62" s="1111" t="s">
        <v>99</v>
      </c>
      <c r="I62" s="1112"/>
      <c r="J62" s="1113"/>
      <c r="K62" s="1109" t="s">
        <v>470</v>
      </c>
      <c r="L62" s="1110"/>
      <c r="M62" s="1111" t="s">
        <v>99</v>
      </c>
      <c r="N62" s="1112"/>
      <c r="O62" s="1113"/>
      <c r="P62" s="1109" t="s">
        <v>470</v>
      </c>
      <c r="Q62" s="1110"/>
      <c r="R62" s="1111" t="s">
        <v>99</v>
      </c>
      <c r="S62" s="1112"/>
      <c r="T62" s="1113"/>
      <c r="U62" s="227"/>
      <c r="W62" s="204"/>
      <c r="X62" s="504"/>
    </row>
    <row r="63" spans="1:24" ht="40" customHeight="1">
      <c r="A63" s="227"/>
      <c r="C63" s="1097" t="s">
        <v>4</v>
      </c>
      <c r="D63" s="1098"/>
      <c r="E63" s="1099"/>
      <c r="F63" s="1092"/>
      <c r="G63" s="1093"/>
      <c r="H63" s="1094"/>
      <c r="I63" s="1095"/>
      <c r="J63" s="1096"/>
      <c r="K63" s="1092"/>
      <c r="L63" s="1093"/>
      <c r="M63" s="1094"/>
      <c r="N63" s="1095"/>
      <c r="O63" s="1096"/>
      <c r="P63" s="1092"/>
      <c r="Q63" s="1093"/>
      <c r="R63" s="1094"/>
      <c r="S63" s="1095"/>
      <c r="T63" s="1096"/>
      <c r="U63" s="227"/>
      <c r="W63" s="204"/>
      <c r="X63" s="504"/>
    </row>
    <row r="64" spans="1:24" ht="40" customHeight="1">
      <c r="A64" s="227"/>
      <c r="C64" s="1089" t="s">
        <v>5</v>
      </c>
      <c r="D64" s="1090"/>
      <c r="E64" s="1091"/>
      <c r="F64" s="1080"/>
      <c r="G64" s="1081"/>
      <c r="H64" s="1082"/>
      <c r="I64" s="1083"/>
      <c r="J64" s="1084"/>
      <c r="K64" s="1080"/>
      <c r="L64" s="1081"/>
      <c r="M64" s="1082"/>
      <c r="N64" s="1083"/>
      <c r="O64" s="1084"/>
      <c r="P64" s="1080"/>
      <c r="Q64" s="1081"/>
      <c r="R64" s="1082"/>
      <c r="S64" s="1083"/>
      <c r="T64" s="1084"/>
      <c r="U64" s="227"/>
      <c r="W64" s="204"/>
      <c r="X64" s="504"/>
    </row>
    <row r="65" spans="1:24" ht="40" customHeight="1">
      <c r="A65" s="227"/>
      <c r="C65" s="1089" t="s">
        <v>296</v>
      </c>
      <c r="D65" s="1090"/>
      <c r="E65" s="1091"/>
      <c r="F65" s="1080"/>
      <c r="G65" s="1081"/>
      <c r="H65" s="1082"/>
      <c r="I65" s="1083"/>
      <c r="J65" s="1084"/>
      <c r="K65" s="1080"/>
      <c r="L65" s="1081"/>
      <c r="M65" s="1082"/>
      <c r="N65" s="1083"/>
      <c r="O65" s="1084"/>
      <c r="P65" s="1080"/>
      <c r="Q65" s="1081"/>
      <c r="R65" s="1082"/>
      <c r="S65" s="1083"/>
      <c r="T65" s="1084"/>
      <c r="U65" s="227"/>
      <c r="W65" s="204"/>
      <c r="X65" s="504"/>
    </row>
    <row r="66" spans="1:24" ht="40" customHeight="1" thickBot="1">
      <c r="A66" s="227"/>
      <c r="C66" s="1085" t="s">
        <v>6</v>
      </c>
      <c r="D66" s="1086"/>
      <c r="E66" s="1087"/>
      <c r="F66" s="1088"/>
      <c r="G66" s="1077"/>
      <c r="H66" s="1076"/>
      <c r="I66" s="1078"/>
      <c r="J66" s="1079"/>
      <c r="K66" s="1088"/>
      <c r="L66" s="1077"/>
      <c r="M66" s="1076"/>
      <c r="N66" s="1078"/>
      <c r="O66" s="1079"/>
      <c r="P66" s="1088"/>
      <c r="Q66" s="1077"/>
      <c r="R66" s="1076"/>
      <c r="S66" s="1078"/>
      <c r="T66" s="1079"/>
      <c r="U66" s="227"/>
      <c r="W66" s="204"/>
      <c r="X66" s="504"/>
    </row>
    <row r="67" spans="1:24" ht="20" customHeight="1" thickBot="1">
      <c r="A67" s="227"/>
      <c r="B67" s="254"/>
      <c r="C67" s="492"/>
      <c r="T67" s="493"/>
      <c r="U67" s="227"/>
      <c r="W67" s="204"/>
      <c r="X67" s="504"/>
    </row>
    <row r="68" spans="1:24" ht="20" customHeight="1">
      <c r="A68" s="227"/>
      <c r="C68" s="1060" t="s">
        <v>207</v>
      </c>
      <c r="D68" s="1061"/>
      <c r="E68" s="1062"/>
      <c r="F68" s="1066" t="s">
        <v>474</v>
      </c>
      <c r="G68" s="1067"/>
      <c r="H68" s="1066" t="s">
        <v>467</v>
      </c>
      <c r="I68" s="1068"/>
      <c r="J68" s="1069"/>
      <c r="M68" s="1114" t="s">
        <v>867</v>
      </c>
      <c r="N68" s="1115"/>
      <c r="O68" s="1115"/>
      <c r="P68" s="1115"/>
      <c r="Q68" s="1116"/>
      <c r="R68" s="1070" t="s">
        <v>868</v>
      </c>
      <c r="S68" s="1071"/>
      <c r="T68" s="1072"/>
      <c r="U68" s="227"/>
      <c r="W68" s="204"/>
      <c r="X68" s="504"/>
    </row>
    <row r="69" spans="1:24" ht="40" customHeight="1" thickBot="1">
      <c r="A69" s="227"/>
      <c r="C69" s="1063"/>
      <c r="D69" s="1064"/>
      <c r="E69" s="1065"/>
      <c r="F69" s="1076"/>
      <c r="G69" s="1077"/>
      <c r="H69" s="1076"/>
      <c r="I69" s="1078"/>
      <c r="J69" s="1079"/>
      <c r="K69" s="491"/>
      <c r="L69" s="491"/>
      <c r="M69" s="1117" t="s">
        <v>885</v>
      </c>
      <c r="N69" s="1118"/>
      <c r="O69" s="1118"/>
      <c r="P69" s="1118"/>
      <c r="Q69" s="1119"/>
      <c r="R69" s="1073"/>
      <c r="S69" s="1074"/>
      <c r="T69" s="1075"/>
      <c r="U69" s="227"/>
      <c r="W69" s="204"/>
      <c r="X69" s="504"/>
    </row>
    <row r="70" spans="1:24" ht="34" customHeight="1">
      <c r="A70" s="227"/>
      <c r="U70" s="227"/>
      <c r="W70" s="204"/>
      <c r="X70" s="504"/>
    </row>
    <row r="71" spans="1:24" ht="34" customHeight="1" thickBot="1">
      <c r="A71" s="227"/>
      <c r="C71" s="495" t="s">
        <v>478</v>
      </c>
      <c r="U71" s="227"/>
      <c r="W71" s="204"/>
      <c r="X71" s="504"/>
    </row>
    <row r="72" spans="1:24" ht="20" customHeight="1">
      <c r="A72" s="227"/>
      <c r="C72" s="1100" t="s">
        <v>468</v>
      </c>
      <c r="D72" s="1101"/>
      <c r="E72" s="1102"/>
      <c r="F72" s="1103" t="s">
        <v>3</v>
      </c>
      <c r="G72" s="1104"/>
      <c r="H72" s="1104"/>
      <c r="I72" s="1104"/>
      <c r="J72" s="1105"/>
      <c r="K72" s="1103" t="s">
        <v>7</v>
      </c>
      <c r="L72" s="1104"/>
      <c r="M72" s="1104"/>
      <c r="N72" s="1104"/>
      <c r="O72" s="1105"/>
      <c r="P72" s="1103" t="s">
        <v>741</v>
      </c>
      <c r="Q72" s="1104"/>
      <c r="R72" s="1104"/>
      <c r="S72" s="1104"/>
      <c r="T72" s="1105"/>
      <c r="U72" s="227"/>
      <c r="W72" s="204"/>
      <c r="X72" s="504"/>
    </row>
    <row r="73" spans="1:24" ht="20" customHeight="1" thickBot="1">
      <c r="A73" s="227"/>
      <c r="C73" s="1106" t="s">
        <v>469</v>
      </c>
      <c r="D73" s="1107"/>
      <c r="E73" s="1108"/>
      <c r="F73" s="1109" t="s">
        <v>470</v>
      </c>
      <c r="G73" s="1110"/>
      <c r="H73" s="1111" t="s">
        <v>99</v>
      </c>
      <c r="I73" s="1112"/>
      <c r="J73" s="1113"/>
      <c r="K73" s="1109" t="s">
        <v>470</v>
      </c>
      <c r="L73" s="1110"/>
      <c r="M73" s="1111" t="s">
        <v>99</v>
      </c>
      <c r="N73" s="1112"/>
      <c r="O73" s="1113"/>
      <c r="P73" s="1109" t="s">
        <v>470</v>
      </c>
      <c r="Q73" s="1110"/>
      <c r="R73" s="1111" t="s">
        <v>99</v>
      </c>
      <c r="S73" s="1112"/>
      <c r="T73" s="1113"/>
      <c r="U73" s="227"/>
      <c r="W73" s="204"/>
      <c r="X73" s="504"/>
    </row>
    <row r="74" spans="1:24" ht="40" customHeight="1">
      <c r="A74" s="227"/>
      <c r="C74" s="1097" t="s">
        <v>4</v>
      </c>
      <c r="D74" s="1098"/>
      <c r="E74" s="1099"/>
      <c r="F74" s="1092"/>
      <c r="G74" s="1093"/>
      <c r="H74" s="1094"/>
      <c r="I74" s="1095"/>
      <c r="J74" s="1096"/>
      <c r="K74" s="1092"/>
      <c r="L74" s="1093"/>
      <c r="M74" s="1094"/>
      <c r="N74" s="1095"/>
      <c r="O74" s="1096"/>
      <c r="P74" s="1092"/>
      <c r="Q74" s="1093"/>
      <c r="R74" s="1094"/>
      <c r="S74" s="1095"/>
      <c r="T74" s="1096"/>
      <c r="U74" s="227"/>
      <c r="W74" s="204"/>
      <c r="X74" s="504"/>
    </row>
    <row r="75" spans="1:24" ht="40" customHeight="1">
      <c r="A75" s="227"/>
      <c r="C75" s="1089" t="s">
        <v>5</v>
      </c>
      <c r="D75" s="1090"/>
      <c r="E75" s="1091"/>
      <c r="F75" s="1080"/>
      <c r="G75" s="1081"/>
      <c r="H75" s="1082"/>
      <c r="I75" s="1083"/>
      <c r="J75" s="1084"/>
      <c r="K75" s="1080"/>
      <c r="L75" s="1081"/>
      <c r="M75" s="1082"/>
      <c r="N75" s="1083"/>
      <c r="O75" s="1084"/>
      <c r="P75" s="1080"/>
      <c r="Q75" s="1081"/>
      <c r="R75" s="1082"/>
      <c r="S75" s="1083"/>
      <c r="T75" s="1084"/>
      <c r="U75" s="227"/>
      <c r="W75" s="204"/>
      <c r="X75" s="504"/>
    </row>
    <row r="76" spans="1:24" ht="40" customHeight="1">
      <c r="A76" s="227"/>
      <c r="C76" s="1089" t="s">
        <v>296</v>
      </c>
      <c r="D76" s="1090"/>
      <c r="E76" s="1091"/>
      <c r="F76" s="1080"/>
      <c r="G76" s="1081"/>
      <c r="H76" s="1082"/>
      <c r="I76" s="1083"/>
      <c r="J76" s="1084"/>
      <c r="K76" s="1080"/>
      <c r="L76" s="1081"/>
      <c r="M76" s="1082"/>
      <c r="N76" s="1083"/>
      <c r="O76" s="1084"/>
      <c r="P76" s="1080"/>
      <c r="Q76" s="1081"/>
      <c r="R76" s="1082"/>
      <c r="S76" s="1083"/>
      <c r="T76" s="1084"/>
      <c r="U76" s="227"/>
      <c r="W76" s="204"/>
      <c r="X76" s="504"/>
    </row>
    <row r="77" spans="1:24" ht="40" customHeight="1" thickBot="1">
      <c r="A77" s="227"/>
      <c r="C77" s="1085" t="s">
        <v>6</v>
      </c>
      <c r="D77" s="1086"/>
      <c r="E77" s="1087"/>
      <c r="F77" s="1088"/>
      <c r="G77" s="1077"/>
      <c r="H77" s="1076"/>
      <c r="I77" s="1078"/>
      <c r="J77" s="1079"/>
      <c r="K77" s="1088"/>
      <c r="L77" s="1077"/>
      <c r="M77" s="1076"/>
      <c r="N77" s="1078"/>
      <c r="O77" s="1079"/>
      <c r="P77" s="1088"/>
      <c r="Q77" s="1077"/>
      <c r="R77" s="1076"/>
      <c r="S77" s="1078"/>
      <c r="T77" s="1079"/>
      <c r="U77" s="227"/>
      <c r="W77" s="204"/>
      <c r="X77" s="504"/>
    </row>
    <row r="78" spans="1:24" ht="20" customHeight="1" thickBot="1">
      <c r="A78" s="227"/>
      <c r="C78" s="492"/>
      <c r="T78" s="493"/>
      <c r="U78" s="227"/>
      <c r="W78" s="204"/>
      <c r="X78" s="504"/>
    </row>
    <row r="79" spans="1:24" ht="20" customHeight="1">
      <c r="A79" s="227"/>
      <c r="C79" s="1060" t="s">
        <v>207</v>
      </c>
      <c r="D79" s="1061"/>
      <c r="E79" s="1062"/>
      <c r="F79" s="1066" t="s">
        <v>474</v>
      </c>
      <c r="G79" s="1067"/>
      <c r="H79" s="1066" t="s">
        <v>467</v>
      </c>
      <c r="I79" s="1068"/>
      <c r="J79" s="1069"/>
      <c r="M79" s="1114" t="s">
        <v>867</v>
      </c>
      <c r="N79" s="1115"/>
      <c r="O79" s="1115"/>
      <c r="P79" s="1115"/>
      <c r="Q79" s="1116"/>
      <c r="R79" s="1070" t="s">
        <v>868</v>
      </c>
      <c r="S79" s="1071"/>
      <c r="T79" s="1072"/>
      <c r="U79" s="227"/>
      <c r="W79" s="204"/>
      <c r="X79" s="504"/>
    </row>
    <row r="80" spans="1:24" ht="40" customHeight="1" thickBot="1">
      <c r="A80" s="227"/>
      <c r="C80" s="1063"/>
      <c r="D80" s="1064"/>
      <c r="E80" s="1065"/>
      <c r="F80" s="1076"/>
      <c r="G80" s="1077"/>
      <c r="H80" s="1076"/>
      <c r="I80" s="1078"/>
      <c r="J80" s="1079"/>
      <c r="K80" s="491"/>
      <c r="L80" s="491"/>
      <c r="M80" s="1117" t="s">
        <v>885</v>
      </c>
      <c r="N80" s="1118"/>
      <c r="O80" s="1118"/>
      <c r="P80" s="1118"/>
      <c r="Q80" s="1119"/>
      <c r="R80" s="1073"/>
      <c r="S80" s="1074"/>
      <c r="T80" s="1075"/>
      <c r="U80" s="227"/>
      <c r="W80" s="204"/>
      <c r="X80" s="504"/>
    </row>
    <row r="81" spans="1:24" ht="34" customHeight="1">
      <c r="A81" s="227"/>
      <c r="U81" s="227"/>
      <c r="W81" s="204"/>
      <c r="X81" s="504"/>
    </row>
    <row r="82" spans="1:24" ht="34" customHeight="1" thickBot="1">
      <c r="A82" s="227"/>
      <c r="C82" s="494" t="s">
        <v>472</v>
      </c>
      <c r="U82" s="227"/>
      <c r="W82" s="204"/>
      <c r="X82" s="504"/>
    </row>
    <row r="83" spans="1:24" ht="20" customHeight="1">
      <c r="A83" s="227"/>
      <c r="C83" s="1100" t="s">
        <v>468</v>
      </c>
      <c r="D83" s="1101"/>
      <c r="E83" s="1102"/>
      <c r="F83" s="1103" t="s">
        <v>3</v>
      </c>
      <c r="G83" s="1104"/>
      <c r="H83" s="1104"/>
      <c r="I83" s="1104"/>
      <c r="J83" s="1105"/>
      <c r="K83" s="1103" t="s">
        <v>7</v>
      </c>
      <c r="L83" s="1104"/>
      <c r="M83" s="1104"/>
      <c r="N83" s="1104"/>
      <c r="O83" s="1105"/>
      <c r="P83" s="1103" t="s">
        <v>741</v>
      </c>
      <c r="Q83" s="1104"/>
      <c r="R83" s="1104"/>
      <c r="S83" s="1104"/>
      <c r="T83" s="1105"/>
      <c r="U83" s="227"/>
      <c r="W83" s="204"/>
      <c r="X83" s="504"/>
    </row>
    <row r="84" spans="1:24" ht="20" customHeight="1" thickBot="1">
      <c r="A84" s="227"/>
      <c r="C84" s="1106" t="s">
        <v>469</v>
      </c>
      <c r="D84" s="1107"/>
      <c r="E84" s="1108"/>
      <c r="F84" s="1109" t="s">
        <v>470</v>
      </c>
      <c r="G84" s="1110"/>
      <c r="H84" s="1111" t="s">
        <v>99</v>
      </c>
      <c r="I84" s="1112"/>
      <c r="J84" s="1113"/>
      <c r="K84" s="1109" t="s">
        <v>470</v>
      </c>
      <c r="L84" s="1110"/>
      <c r="M84" s="1111" t="s">
        <v>99</v>
      </c>
      <c r="N84" s="1112"/>
      <c r="O84" s="1113"/>
      <c r="P84" s="1109" t="s">
        <v>470</v>
      </c>
      <c r="Q84" s="1110"/>
      <c r="R84" s="1111" t="s">
        <v>99</v>
      </c>
      <c r="S84" s="1112"/>
      <c r="T84" s="1113"/>
      <c r="U84" s="227"/>
      <c r="W84" s="204"/>
      <c r="X84" s="504"/>
    </row>
    <row r="85" spans="1:24" ht="40" customHeight="1">
      <c r="A85" s="227"/>
      <c r="C85" s="1097" t="s">
        <v>4</v>
      </c>
      <c r="D85" s="1098"/>
      <c r="E85" s="1099"/>
      <c r="F85" s="1092"/>
      <c r="G85" s="1093"/>
      <c r="H85" s="1094"/>
      <c r="I85" s="1095"/>
      <c r="J85" s="1096"/>
      <c r="K85" s="1092"/>
      <c r="L85" s="1093"/>
      <c r="M85" s="1094"/>
      <c r="N85" s="1095"/>
      <c r="O85" s="1096"/>
      <c r="P85" s="1092"/>
      <c r="Q85" s="1093"/>
      <c r="R85" s="1094"/>
      <c r="S85" s="1095"/>
      <c r="T85" s="1096"/>
      <c r="U85" s="227"/>
      <c r="W85" s="204"/>
      <c r="X85" s="504"/>
    </row>
    <row r="86" spans="1:24" ht="40" customHeight="1">
      <c r="A86" s="227"/>
      <c r="C86" s="1089" t="s">
        <v>5</v>
      </c>
      <c r="D86" s="1090"/>
      <c r="E86" s="1091"/>
      <c r="F86" s="1080"/>
      <c r="G86" s="1081"/>
      <c r="H86" s="1082"/>
      <c r="I86" s="1083"/>
      <c r="J86" s="1084"/>
      <c r="K86" s="1080"/>
      <c r="L86" s="1081"/>
      <c r="M86" s="1082"/>
      <c r="N86" s="1083"/>
      <c r="O86" s="1084"/>
      <c r="P86" s="1080"/>
      <c r="Q86" s="1081"/>
      <c r="R86" s="1082"/>
      <c r="S86" s="1083"/>
      <c r="T86" s="1084"/>
      <c r="U86" s="227"/>
      <c r="W86" s="204"/>
      <c r="X86" s="504"/>
    </row>
    <row r="87" spans="1:24" ht="40" customHeight="1">
      <c r="A87" s="227"/>
      <c r="C87" s="1089" t="s">
        <v>296</v>
      </c>
      <c r="D87" s="1090"/>
      <c r="E87" s="1091"/>
      <c r="F87" s="1080"/>
      <c r="G87" s="1081"/>
      <c r="H87" s="1082"/>
      <c r="I87" s="1083"/>
      <c r="J87" s="1084"/>
      <c r="K87" s="1080"/>
      <c r="L87" s="1081"/>
      <c r="M87" s="1082"/>
      <c r="N87" s="1083"/>
      <c r="O87" s="1084"/>
      <c r="P87" s="1080"/>
      <c r="Q87" s="1081"/>
      <c r="R87" s="1082"/>
      <c r="S87" s="1083"/>
      <c r="T87" s="1084"/>
      <c r="U87" s="227"/>
      <c r="W87" s="204"/>
      <c r="X87" s="504"/>
    </row>
    <row r="88" spans="1:24" ht="40" customHeight="1" thickBot="1">
      <c r="A88" s="227"/>
      <c r="C88" s="1085" t="s">
        <v>6</v>
      </c>
      <c r="D88" s="1086"/>
      <c r="E88" s="1087"/>
      <c r="F88" s="1088"/>
      <c r="G88" s="1077"/>
      <c r="H88" s="1076"/>
      <c r="I88" s="1078"/>
      <c r="J88" s="1079"/>
      <c r="K88" s="1088"/>
      <c r="L88" s="1077"/>
      <c r="M88" s="1076"/>
      <c r="N88" s="1078"/>
      <c r="O88" s="1079"/>
      <c r="P88" s="1088"/>
      <c r="Q88" s="1077"/>
      <c r="R88" s="1076"/>
      <c r="S88" s="1078"/>
      <c r="T88" s="1079"/>
      <c r="U88" s="227"/>
      <c r="W88" s="204"/>
      <c r="X88" s="504"/>
    </row>
    <row r="89" spans="1:24" ht="20" customHeight="1" thickBot="1">
      <c r="A89" s="227"/>
      <c r="C89" s="492"/>
      <c r="T89" s="493"/>
      <c r="U89" s="227"/>
      <c r="W89" s="204"/>
      <c r="X89" s="504"/>
    </row>
    <row r="90" spans="1:24" ht="20" customHeight="1">
      <c r="A90" s="227"/>
      <c r="C90" s="1060" t="s">
        <v>207</v>
      </c>
      <c r="D90" s="1061"/>
      <c r="E90" s="1062"/>
      <c r="F90" s="1066" t="s">
        <v>474</v>
      </c>
      <c r="G90" s="1067"/>
      <c r="H90" s="1066" t="s">
        <v>467</v>
      </c>
      <c r="I90" s="1068"/>
      <c r="J90" s="1069"/>
      <c r="M90" s="1114" t="s">
        <v>867</v>
      </c>
      <c r="N90" s="1115"/>
      <c r="O90" s="1115"/>
      <c r="P90" s="1115"/>
      <c r="Q90" s="1116"/>
      <c r="R90" s="1070" t="s">
        <v>868</v>
      </c>
      <c r="S90" s="1071"/>
      <c r="T90" s="1072"/>
      <c r="U90" s="227"/>
      <c r="W90" s="204"/>
      <c r="X90" s="504"/>
    </row>
    <row r="91" spans="1:24" ht="40" customHeight="1" thickBot="1">
      <c r="A91" s="227"/>
      <c r="C91" s="1063"/>
      <c r="D91" s="1064"/>
      <c r="E91" s="1065"/>
      <c r="F91" s="1076"/>
      <c r="G91" s="1077"/>
      <c r="H91" s="1076"/>
      <c r="I91" s="1078"/>
      <c r="J91" s="1079"/>
      <c r="K91" s="491"/>
      <c r="L91" s="491"/>
      <c r="M91" s="1117" t="s">
        <v>885</v>
      </c>
      <c r="N91" s="1118"/>
      <c r="O91" s="1118"/>
      <c r="P91" s="1118"/>
      <c r="Q91" s="1119"/>
      <c r="R91" s="1073"/>
      <c r="S91" s="1074"/>
      <c r="T91" s="1075"/>
      <c r="U91" s="227"/>
      <c r="W91" s="204"/>
      <c r="X91" s="504"/>
    </row>
    <row r="92" spans="1:24" ht="34" customHeight="1">
      <c r="A92" s="227"/>
      <c r="U92" s="227"/>
      <c r="W92" s="204"/>
      <c r="X92" s="504"/>
    </row>
    <row r="93" spans="1:24" ht="34" customHeight="1" thickBot="1">
      <c r="A93" s="227"/>
      <c r="C93" s="494" t="s">
        <v>471</v>
      </c>
      <c r="U93" s="227"/>
      <c r="W93" s="204"/>
      <c r="X93" s="504"/>
    </row>
    <row r="94" spans="1:24" ht="20" customHeight="1">
      <c r="A94" s="227"/>
      <c r="C94" s="1100" t="s">
        <v>468</v>
      </c>
      <c r="D94" s="1101"/>
      <c r="E94" s="1102"/>
      <c r="F94" s="1103" t="s">
        <v>3</v>
      </c>
      <c r="G94" s="1104"/>
      <c r="H94" s="1104"/>
      <c r="I94" s="1104"/>
      <c r="J94" s="1105"/>
      <c r="K94" s="1103" t="s">
        <v>7</v>
      </c>
      <c r="L94" s="1104"/>
      <c r="M94" s="1104"/>
      <c r="N94" s="1104"/>
      <c r="O94" s="1105"/>
      <c r="P94" s="1103" t="s">
        <v>741</v>
      </c>
      <c r="Q94" s="1104"/>
      <c r="R94" s="1104"/>
      <c r="S94" s="1104"/>
      <c r="T94" s="1105"/>
      <c r="U94" s="227"/>
      <c r="W94" s="204"/>
      <c r="X94" s="504"/>
    </row>
    <row r="95" spans="1:24" ht="20" customHeight="1" thickBot="1">
      <c r="A95" s="227"/>
      <c r="C95" s="1106" t="s">
        <v>469</v>
      </c>
      <c r="D95" s="1107"/>
      <c r="E95" s="1108"/>
      <c r="F95" s="1109" t="s">
        <v>470</v>
      </c>
      <c r="G95" s="1110"/>
      <c r="H95" s="1111" t="s">
        <v>99</v>
      </c>
      <c r="I95" s="1112"/>
      <c r="J95" s="1113"/>
      <c r="K95" s="1109" t="s">
        <v>470</v>
      </c>
      <c r="L95" s="1110"/>
      <c r="M95" s="1111" t="s">
        <v>99</v>
      </c>
      <c r="N95" s="1112"/>
      <c r="O95" s="1113"/>
      <c r="P95" s="1109" t="s">
        <v>470</v>
      </c>
      <c r="Q95" s="1110"/>
      <c r="R95" s="1111" t="s">
        <v>99</v>
      </c>
      <c r="S95" s="1112"/>
      <c r="T95" s="1113"/>
      <c r="U95" s="227"/>
      <c r="W95" s="204"/>
      <c r="X95" s="504"/>
    </row>
    <row r="96" spans="1:24" ht="40" customHeight="1">
      <c r="A96" s="227"/>
      <c r="C96" s="1097" t="s">
        <v>4</v>
      </c>
      <c r="D96" s="1098"/>
      <c r="E96" s="1099"/>
      <c r="F96" s="1092"/>
      <c r="G96" s="1093"/>
      <c r="H96" s="1094"/>
      <c r="I96" s="1095"/>
      <c r="J96" s="1096"/>
      <c r="K96" s="1092"/>
      <c r="L96" s="1093"/>
      <c r="M96" s="1094"/>
      <c r="N96" s="1095"/>
      <c r="O96" s="1096"/>
      <c r="P96" s="1092"/>
      <c r="Q96" s="1093"/>
      <c r="R96" s="1094"/>
      <c r="S96" s="1095"/>
      <c r="T96" s="1096"/>
      <c r="U96" s="227"/>
      <c r="W96" s="204"/>
      <c r="X96" s="504"/>
    </row>
    <row r="97" spans="1:24" ht="40" customHeight="1">
      <c r="A97" s="227"/>
      <c r="C97" s="1089" t="s">
        <v>5</v>
      </c>
      <c r="D97" s="1090"/>
      <c r="E97" s="1091"/>
      <c r="F97" s="1080"/>
      <c r="G97" s="1081"/>
      <c r="H97" s="1082"/>
      <c r="I97" s="1083"/>
      <c r="J97" s="1084"/>
      <c r="K97" s="1080"/>
      <c r="L97" s="1081"/>
      <c r="M97" s="1082"/>
      <c r="N97" s="1083"/>
      <c r="O97" s="1084"/>
      <c r="P97" s="1080"/>
      <c r="Q97" s="1081"/>
      <c r="R97" s="1082"/>
      <c r="S97" s="1083"/>
      <c r="T97" s="1084"/>
      <c r="U97" s="227"/>
      <c r="W97" s="204"/>
      <c r="X97" s="504"/>
    </row>
    <row r="98" spans="1:24" ht="40" customHeight="1">
      <c r="A98" s="227"/>
      <c r="C98" s="1089" t="s">
        <v>296</v>
      </c>
      <c r="D98" s="1090"/>
      <c r="E98" s="1091"/>
      <c r="F98" s="1080"/>
      <c r="G98" s="1081"/>
      <c r="H98" s="1082"/>
      <c r="I98" s="1083"/>
      <c r="J98" s="1084"/>
      <c r="K98" s="1080"/>
      <c r="L98" s="1081"/>
      <c r="M98" s="1082"/>
      <c r="N98" s="1083"/>
      <c r="O98" s="1084"/>
      <c r="P98" s="1080"/>
      <c r="Q98" s="1081"/>
      <c r="R98" s="1082"/>
      <c r="S98" s="1083"/>
      <c r="T98" s="1084"/>
      <c r="U98" s="227"/>
      <c r="W98" s="204"/>
      <c r="X98" s="504"/>
    </row>
    <row r="99" spans="1:24" ht="40" customHeight="1" thickBot="1">
      <c r="A99" s="227"/>
      <c r="C99" s="1085" t="s">
        <v>6</v>
      </c>
      <c r="D99" s="1086"/>
      <c r="E99" s="1087"/>
      <c r="F99" s="1088"/>
      <c r="G99" s="1077"/>
      <c r="H99" s="1076"/>
      <c r="I99" s="1078"/>
      <c r="J99" s="1079"/>
      <c r="K99" s="1088"/>
      <c r="L99" s="1077"/>
      <c r="M99" s="1076"/>
      <c r="N99" s="1078"/>
      <c r="O99" s="1079"/>
      <c r="P99" s="1088"/>
      <c r="Q99" s="1077"/>
      <c r="R99" s="1076"/>
      <c r="S99" s="1078"/>
      <c r="T99" s="1079"/>
      <c r="U99" s="227"/>
      <c r="W99" s="204"/>
      <c r="X99" s="504"/>
    </row>
    <row r="100" spans="1:24" ht="20" customHeight="1" thickBot="1">
      <c r="A100" s="227"/>
      <c r="C100" s="492"/>
      <c r="T100" s="493"/>
      <c r="U100" s="227"/>
      <c r="W100" s="204"/>
      <c r="X100" s="504"/>
    </row>
    <row r="101" spans="1:24" ht="19.5" customHeight="1">
      <c r="A101" s="227"/>
      <c r="C101" s="1060" t="s">
        <v>207</v>
      </c>
      <c r="D101" s="1061"/>
      <c r="E101" s="1062"/>
      <c r="F101" s="1066" t="s">
        <v>474</v>
      </c>
      <c r="G101" s="1067"/>
      <c r="H101" s="1066" t="s">
        <v>467</v>
      </c>
      <c r="I101" s="1068"/>
      <c r="J101" s="1069"/>
      <c r="M101" s="1114" t="s">
        <v>867</v>
      </c>
      <c r="N101" s="1115"/>
      <c r="O101" s="1115"/>
      <c r="P101" s="1115"/>
      <c r="Q101" s="1116"/>
      <c r="R101" s="1070" t="s">
        <v>868</v>
      </c>
      <c r="S101" s="1071"/>
      <c r="T101" s="1072"/>
      <c r="U101" s="227"/>
      <c r="W101" s="204"/>
      <c r="X101" s="504"/>
    </row>
    <row r="102" spans="1:24" ht="40" customHeight="1" thickBot="1">
      <c r="A102" s="227"/>
      <c r="C102" s="1063"/>
      <c r="D102" s="1064"/>
      <c r="E102" s="1065"/>
      <c r="F102" s="1076"/>
      <c r="G102" s="1077"/>
      <c r="H102" s="1076"/>
      <c r="I102" s="1078"/>
      <c r="J102" s="1079"/>
      <c r="K102" s="491"/>
      <c r="L102" s="491"/>
      <c r="M102" s="1117" t="s">
        <v>885</v>
      </c>
      <c r="N102" s="1118"/>
      <c r="O102" s="1118"/>
      <c r="P102" s="1118"/>
      <c r="Q102" s="1119"/>
      <c r="R102" s="1073"/>
      <c r="S102" s="1074"/>
      <c r="T102" s="1075"/>
      <c r="U102" s="227"/>
      <c r="W102" s="204"/>
      <c r="X102" s="504"/>
    </row>
    <row r="103" spans="1:24" ht="18" customHeight="1" thickBot="1">
      <c r="A103" s="227"/>
      <c r="B103" s="240"/>
      <c r="C103" s="240"/>
      <c r="D103" s="240"/>
      <c r="E103" s="240"/>
      <c r="F103" s="240"/>
      <c r="G103" s="240"/>
      <c r="H103" s="240"/>
      <c r="I103" s="240"/>
      <c r="J103" s="240"/>
      <c r="K103" s="240"/>
      <c r="L103" s="240"/>
      <c r="M103" s="240"/>
      <c r="N103" s="240"/>
      <c r="O103" s="240"/>
      <c r="P103" s="240"/>
      <c r="Q103" s="240"/>
      <c r="R103" s="240"/>
      <c r="S103" s="240"/>
      <c r="T103" s="240"/>
      <c r="U103" s="241"/>
      <c r="W103" s="204"/>
      <c r="X103" s="504"/>
    </row>
    <row r="104" spans="1:24" ht="10" customHeight="1">
      <c r="W104" s="204"/>
      <c r="X104" s="504"/>
    </row>
    <row r="105" spans="1:24" ht="5" customHeight="1">
      <c r="A105" s="204"/>
      <c r="B105" s="204"/>
      <c r="C105" s="204"/>
      <c r="D105" s="204"/>
      <c r="E105" s="204"/>
      <c r="F105" s="204"/>
      <c r="G105" s="204"/>
      <c r="H105" s="204"/>
      <c r="I105" s="204"/>
      <c r="J105" s="204"/>
      <c r="K105" s="204"/>
      <c r="L105" s="204"/>
      <c r="M105" s="204"/>
      <c r="N105" s="204"/>
      <c r="O105" s="204"/>
      <c r="P105" s="204"/>
      <c r="Q105" s="204"/>
      <c r="R105" s="204"/>
      <c r="S105" s="204"/>
      <c r="T105" s="204"/>
      <c r="U105" s="204"/>
      <c r="V105" s="204"/>
      <c r="W105" s="204"/>
      <c r="X105" s="504"/>
    </row>
    <row r="106" spans="1:24" ht="45" customHeight="1">
      <c r="A106" s="504"/>
      <c r="B106" s="504"/>
      <c r="C106" s="504"/>
      <c r="D106" s="504"/>
      <c r="E106" s="504"/>
      <c r="F106" s="1035" t="s">
        <v>701</v>
      </c>
      <c r="G106" s="1035"/>
      <c r="H106" s="1035"/>
      <c r="I106" s="1035"/>
      <c r="J106" s="1035"/>
      <c r="K106" s="1035"/>
      <c r="L106" s="1035"/>
      <c r="M106" s="1035"/>
      <c r="N106" s="1035"/>
      <c r="O106" s="1035"/>
      <c r="P106" s="1035"/>
      <c r="Q106" s="504"/>
      <c r="R106" s="504"/>
      <c r="S106" s="504"/>
      <c r="T106" s="504"/>
      <c r="U106" s="504"/>
      <c r="V106" s="504"/>
      <c r="W106" s="504"/>
      <c r="X106" s="504"/>
    </row>
    <row r="107" spans="1:24" ht="26.25" customHeight="1">
      <c r="A107" s="505"/>
      <c r="B107" s="505"/>
      <c r="C107" s="505"/>
      <c r="D107" s="505"/>
      <c r="E107" s="505"/>
      <c r="F107" s="505"/>
      <c r="G107" s="505"/>
      <c r="H107" s="505"/>
      <c r="I107" s="505"/>
      <c r="J107" s="505"/>
      <c r="K107" s="505"/>
      <c r="L107" s="505"/>
      <c r="M107" s="505"/>
      <c r="N107" s="505"/>
      <c r="O107" s="505"/>
      <c r="P107" s="505"/>
      <c r="Q107" s="505"/>
      <c r="R107" s="505"/>
      <c r="S107" s="505"/>
      <c r="T107" s="505"/>
      <c r="U107" s="505"/>
      <c r="V107" s="505"/>
      <c r="W107" s="505"/>
      <c r="X107" s="505"/>
    </row>
  </sheetData>
  <sheetProtection algorithmName="SHA-512" hashValue="0dLOlh3TCFO55zKR3Yr3H8vHC1q1w9xkXD+4XGU84RtHXBvc/w55iF66p3Psv9nsvhVxU6MMiYyW/AFVFT7Gpg==" saltValue="NKK8SdJlAfZG0IQ5hs1s7g==" spinCount="100000" sheet="1" objects="1" scenarios="1"/>
  <mergeCells count="200">
    <mergeCell ref="M101:Q101"/>
    <mergeCell ref="M102:Q102"/>
    <mergeCell ref="A1:B1"/>
    <mergeCell ref="R1:T1"/>
    <mergeCell ref="O58:T58"/>
    <mergeCell ref="O57:T57"/>
    <mergeCell ref="F63:G63"/>
    <mergeCell ref="F64:G64"/>
    <mergeCell ref="C61:E61"/>
    <mergeCell ref="C62:E62"/>
    <mergeCell ref="C63:E63"/>
    <mergeCell ref="C64:E64"/>
    <mergeCell ref="P61:T61"/>
    <mergeCell ref="P62:Q62"/>
    <mergeCell ref="R62:T62"/>
    <mergeCell ref="P63:Q63"/>
    <mergeCell ref="R63:T63"/>
    <mergeCell ref="P64:Q64"/>
    <mergeCell ref="R64:T64"/>
    <mergeCell ref="C54:T54"/>
    <mergeCell ref="O59:T59"/>
    <mergeCell ref="P65:Q65"/>
    <mergeCell ref="R65:T65"/>
    <mergeCell ref="C65:E65"/>
    <mergeCell ref="F61:J61"/>
    <mergeCell ref="K61:O61"/>
    <mergeCell ref="F62:G62"/>
    <mergeCell ref="H62:J62"/>
    <mergeCell ref="K62:L62"/>
    <mergeCell ref="M62:O62"/>
    <mergeCell ref="H64:J64"/>
    <mergeCell ref="H65:J65"/>
    <mergeCell ref="K63:L63"/>
    <mergeCell ref="M63:O63"/>
    <mergeCell ref="K64:L64"/>
    <mergeCell ref="M64:O64"/>
    <mergeCell ref="K65:L65"/>
    <mergeCell ref="M65:O65"/>
    <mergeCell ref="F65:G65"/>
    <mergeCell ref="H63:J63"/>
    <mergeCell ref="F68:G68"/>
    <mergeCell ref="H68:J68"/>
    <mergeCell ref="C68:E69"/>
    <mergeCell ref="F69:G69"/>
    <mergeCell ref="H69:J69"/>
    <mergeCell ref="P66:Q66"/>
    <mergeCell ref="R66:T66"/>
    <mergeCell ref="R68:T69"/>
    <mergeCell ref="C66:E66"/>
    <mergeCell ref="F66:G66"/>
    <mergeCell ref="H66:J66"/>
    <mergeCell ref="K66:L66"/>
    <mergeCell ref="M66:O66"/>
    <mergeCell ref="M68:Q68"/>
    <mergeCell ref="M69:Q69"/>
    <mergeCell ref="C72:E72"/>
    <mergeCell ref="F72:J72"/>
    <mergeCell ref="K72:O72"/>
    <mergeCell ref="P72:T72"/>
    <mergeCell ref="C73:E73"/>
    <mergeCell ref="F73:G73"/>
    <mergeCell ref="H73:J73"/>
    <mergeCell ref="K73:L73"/>
    <mergeCell ref="M73:O73"/>
    <mergeCell ref="P73:Q73"/>
    <mergeCell ref="R73:T73"/>
    <mergeCell ref="P74:Q74"/>
    <mergeCell ref="R74:T74"/>
    <mergeCell ref="C75:E75"/>
    <mergeCell ref="F75:G75"/>
    <mergeCell ref="H75:J75"/>
    <mergeCell ref="K75:L75"/>
    <mergeCell ref="M75:O75"/>
    <mergeCell ref="P75:Q75"/>
    <mergeCell ref="R75:T75"/>
    <mergeCell ref="C74:E74"/>
    <mergeCell ref="F74:G74"/>
    <mergeCell ref="H74:J74"/>
    <mergeCell ref="K74:L74"/>
    <mergeCell ref="M74:O74"/>
    <mergeCell ref="C79:E80"/>
    <mergeCell ref="F79:G79"/>
    <mergeCell ref="H79:J79"/>
    <mergeCell ref="R79:T80"/>
    <mergeCell ref="F80:G80"/>
    <mergeCell ref="H80:J80"/>
    <mergeCell ref="P76:Q76"/>
    <mergeCell ref="R76:T76"/>
    <mergeCell ref="C77:E77"/>
    <mergeCell ref="F77:G77"/>
    <mergeCell ref="H77:J77"/>
    <mergeCell ref="K77:L77"/>
    <mergeCell ref="M77:O77"/>
    <mergeCell ref="P77:Q77"/>
    <mergeCell ref="R77:T77"/>
    <mergeCell ref="C76:E76"/>
    <mergeCell ref="F76:G76"/>
    <mergeCell ref="H76:J76"/>
    <mergeCell ref="K76:L76"/>
    <mergeCell ref="M76:O76"/>
    <mergeCell ref="M79:Q79"/>
    <mergeCell ref="M80:Q80"/>
    <mergeCell ref="C83:E83"/>
    <mergeCell ref="F83:J83"/>
    <mergeCell ref="K83:O83"/>
    <mergeCell ref="P83:T83"/>
    <mergeCell ref="C84:E84"/>
    <mergeCell ref="F84:G84"/>
    <mergeCell ref="H84:J84"/>
    <mergeCell ref="K84:L84"/>
    <mergeCell ref="M84:O84"/>
    <mergeCell ref="P84:Q84"/>
    <mergeCell ref="R84:T84"/>
    <mergeCell ref="P85:Q85"/>
    <mergeCell ref="R85:T85"/>
    <mergeCell ref="C86:E86"/>
    <mergeCell ref="F86:G86"/>
    <mergeCell ref="H86:J86"/>
    <mergeCell ref="K86:L86"/>
    <mergeCell ref="M86:O86"/>
    <mergeCell ref="P86:Q86"/>
    <mergeCell ref="R86:T86"/>
    <mergeCell ref="C85:E85"/>
    <mergeCell ref="F85:G85"/>
    <mergeCell ref="H85:J85"/>
    <mergeCell ref="K85:L85"/>
    <mergeCell ref="M85:O85"/>
    <mergeCell ref="C90:E91"/>
    <mergeCell ref="F90:G90"/>
    <mergeCell ref="H90:J90"/>
    <mergeCell ref="R90:T91"/>
    <mergeCell ref="F91:G91"/>
    <mergeCell ref="H91:J91"/>
    <mergeCell ref="P87:Q87"/>
    <mergeCell ref="R87:T87"/>
    <mergeCell ref="C88:E88"/>
    <mergeCell ref="F88:G88"/>
    <mergeCell ref="H88:J88"/>
    <mergeCell ref="K88:L88"/>
    <mergeCell ref="M88:O88"/>
    <mergeCell ref="P88:Q88"/>
    <mergeCell ref="R88:T88"/>
    <mergeCell ref="C87:E87"/>
    <mergeCell ref="F87:G87"/>
    <mergeCell ref="H87:J87"/>
    <mergeCell ref="K87:L87"/>
    <mergeCell ref="M87:O87"/>
    <mergeCell ref="M90:Q90"/>
    <mergeCell ref="M91:Q91"/>
    <mergeCell ref="C94:E94"/>
    <mergeCell ref="F94:J94"/>
    <mergeCell ref="K94:O94"/>
    <mergeCell ref="P94:T94"/>
    <mergeCell ref="C95:E95"/>
    <mergeCell ref="F95:G95"/>
    <mergeCell ref="H95:J95"/>
    <mergeCell ref="K95:L95"/>
    <mergeCell ref="M95:O95"/>
    <mergeCell ref="P95:Q95"/>
    <mergeCell ref="R95:T95"/>
    <mergeCell ref="K98:L98"/>
    <mergeCell ref="M98:O98"/>
    <mergeCell ref="P96:Q96"/>
    <mergeCell ref="R96:T96"/>
    <mergeCell ref="C97:E97"/>
    <mergeCell ref="F97:G97"/>
    <mergeCell ref="H97:J97"/>
    <mergeCell ref="K97:L97"/>
    <mergeCell ref="M97:O97"/>
    <mergeCell ref="P97:Q97"/>
    <mergeCell ref="R97:T97"/>
    <mergeCell ref="C96:E96"/>
    <mergeCell ref="F96:G96"/>
    <mergeCell ref="H96:J96"/>
    <mergeCell ref="K96:L96"/>
    <mergeCell ref="M96:O96"/>
    <mergeCell ref="C57:E57"/>
    <mergeCell ref="C58:E58"/>
    <mergeCell ref="F57:M57"/>
    <mergeCell ref="F58:M58"/>
    <mergeCell ref="Y1:AA1"/>
    <mergeCell ref="F106:P106"/>
    <mergeCell ref="C101:E102"/>
    <mergeCell ref="F101:G101"/>
    <mergeCell ref="H101:J101"/>
    <mergeCell ref="R101:T102"/>
    <mergeCell ref="F102:G102"/>
    <mergeCell ref="H102:J102"/>
    <mergeCell ref="P98:Q98"/>
    <mergeCell ref="R98:T98"/>
    <mergeCell ref="C99:E99"/>
    <mergeCell ref="F99:G99"/>
    <mergeCell ref="H99:J99"/>
    <mergeCell ref="K99:L99"/>
    <mergeCell ref="M99:O99"/>
    <mergeCell ref="P99:Q99"/>
    <mergeCell ref="R99:T99"/>
    <mergeCell ref="C98:E98"/>
    <mergeCell ref="F98:G98"/>
    <mergeCell ref="H98:J98"/>
  </mergeCells>
  <conditionalFormatting sqref="A1:Q1">
    <cfRule type="expression" dxfId="144" priority="11">
      <formula>OR(VA_FEHLER_AB&gt;0,VA_FEHLER_C&gt;0)</formula>
    </cfRule>
  </conditionalFormatting>
  <conditionalFormatting sqref="Y1">
    <cfRule type="expression" dxfId="143" priority="2">
      <formula>V_ARBEIT=0</formula>
    </cfRule>
  </conditionalFormatting>
  <printOptions horizontalCentered="1" verticalCentered="1"/>
  <pageMargins left="0.70866141732283472" right="0.70866141732283472" top="0.78740157480314965" bottom="0.78740157480314965" header="0.39370078740157483" footer="0.27559055118110237"/>
  <pageSetup paperSize="9" scale="49" orientation="portrait" errors="blank" r:id="rId1"/>
  <headerFooter scaleWithDoc="0">
    <oddHeader>&amp;L&amp;13Bestandszählung&amp;R&amp;G</oddHeader>
    <oddFooter>&amp;L&amp;G&amp;C&amp;6&amp;U&amp;K02+000Infostelle Fahrradparken&amp;18&amp;U&amp;K01+000
&amp;9https://radparken.info&amp;R&amp;KA5A5A5&amp;"Calibri"&amp;6Druck am: &amp;D
Tabellenreiter: &amp;A
Version: 3.6 (08.01.2025)</oddFooter>
  </headerFooter>
  <rowBreaks count="1" manualBreakCount="1">
    <brk id="56" max="16383" man="1"/>
  </rowBreaks>
  <colBreaks count="1" manualBreakCount="1">
    <brk id="2" max="1048575"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4D7F-9C85-4161-BD07-494EDE5B2C56}">
  <sheetPr codeName="Sheet2">
    <tabColor theme="6" tint="0.59999389629810485"/>
    <pageSetUpPr autoPageBreaks="0" fitToPage="1"/>
  </sheetPr>
  <dimension ref="A1:AA134"/>
  <sheetViews>
    <sheetView showGridLines="0" showRowColHeaders="0" zoomScaleNormal="100" workbookViewId="0">
      <pane ySplit="3" topLeftCell="A4" activePane="bottomLeft" state="frozen"/>
      <selection activeCell="A4" sqref="A4"/>
      <selection pane="bottomLeft" activeCell="A4" sqref="A4"/>
    </sheetView>
  </sheetViews>
  <sheetFormatPr baseColWidth="10" defaultColWidth="18.6640625" defaultRowHeight="18" customHeight="1"/>
  <cols>
    <col min="1" max="1" width="1.6640625" style="203" customWidth="1"/>
    <col min="2" max="2" width="3.6640625" style="203" customWidth="1"/>
    <col min="3" max="20" width="9.6640625" style="203" customWidth="1"/>
    <col min="21" max="21" width="3.6640625" style="203" customWidth="1"/>
    <col min="22" max="22" width="1.6640625" style="203" customWidth="1"/>
    <col min="23" max="23" width="0.83203125" style="203" customWidth="1"/>
    <col min="24" max="24" width="7.1640625" style="203" customWidth="1"/>
    <col min="25" max="16384" width="18.6640625" style="203"/>
  </cols>
  <sheetData>
    <row r="1" spans="1:27" ht="37.5" customHeight="1">
      <c r="A1" s="1036" t="s">
        <v>178</v>
      </c>
      <c r="B1" s="1036"/>
      <c r="C1" s="506" t="str">
        <f>TBS_FH</f>
        <v/>
      </c>
      <c r="D1" s="504"/>
      <c r="E1" s="504"/>
      <c r="F1" s="504"/>
      <c r="G1" s="504"/>
      <c r="H1" s="504"/>
      <c r="I1" s="504"/>
      <c r="J1" s="504"/>
      <c r="K1" s="504"/>
      <c r="L1" s="504"/>
      <c r="M1" s="504"/>
      <c r="N1" s="504"/>
      <c r="O1" s="504"/>
      <c r="P1" s="504"/>
      <c r="Q1" s="504"/>
      <c r="R1" s="1037" t="str">
        <f>"Ermittelter Baubedarf:"&amp;CHAR(10)&amp;VA_BBGESAMT</f>
        <v>Ermittelter Baubedarf:
es fehlen noch Daten</v>
      </c>
      <c r="S1" s="1038"/>
      <c r="T1" s="1038"/>
      <c r="U1" s="507"/>
      <c r="Y1" s="1034" t="s">
        <v>779</v>
      </c>
      <c r="Z1" s="1034"/>
      <c r="AA1" s="1034"/>
    </row>
    <row r="2" spans="1:27" ht="4" customHeight="1">
      <c r="A2" s="204"/>
      <c r="B2" s="205"/>
      <c r="C2" s="205"/>
      <c r="D2" s="205"/>
      <c r="E2" s="204"/>
      <c r="F2" s="204"/>
      <c r="G2" s="204"/>
      <c r="H2" s="204"/>
      <c r="I2" s="204"/>
      <c r="J2" s="204"/>
      <c r="K2" s="204"/>
      <c r="L2" s="204"/>
      <c r="M2" s="204"/>
      <c r="N2" s="204"/>
      <c r="O2" s="204"/>
      <c r="P2" s="204"/>
      <c r="Q2" s="204"/>
      <c r="R2" s="204"/>
      <c r="S2" s="204"/>
      <c r="T2" s="204"/>
      <c r="U2" s="204"/>
      <c r="V2" s="204"/>
      <c r="W2" s="204"/>
    </row>
    <row r="3" spans="1:27" ht="4" customHeight="1">
      <c r="B3" s="206"/>
      <c r="C3" s="206"/>
      <c r="D3" s="206"/>
      <c r="W3" s="204"/>
    </row>
    <row r="4" spans="1:27" ht="14" customHeight="1" thickBot="1">
      <c r="B4" s="240"/>
      <c r="C4" s="240"/>
      <c r="W4" s="204"/>
    </row>
    <row r="5" spans="1:27" ht="14" customHeight="1">
      <c r="B5" s="242"/>
      <c r="C5" s="243"/>
      <c r="D5" s="243"/>
      <c r="E5" s="243"/>
      <c r="F5" s="243"/>
      <c r="G5" s="243"/>
      <c r="H5" s="243"/>
      <c r="I5" s="243"/>
      <c r="J5" s="243"/>
      <c r="K5" s="243"/>
      <c r="L5" s="243"/>
      <c r="M5" s="243"/>
      <c r="N5" s="243"/>
      <c r="O5" s="243"/>
      <c r="P5" s="243"/>
      <c r="Q5" s="243"/>
      <c r="R5" s="243"/>
      <c r="S5" s="243"/>
      <c r="T5" s="243"/>
      <c r="U5" s="244"/>
      <c r="W5" s="204"/>
    </row>
    <row r="6" spans="1:27" ht="18" customHeight="1">
      <c r="B6" s="245"/>
      <c r="C6" s="403" t="s">
        <v>1059</v>
      </c>
      <c r="D6" s="202"/>
      <c r="E6" s="202"/>
      <c r="F6" s="202"/>
      <c r="G6" s="202"/>
      <c r="H6" s="202"/>
      <c r="I6" s="202"/>
      <c r="J6" s="202"/>
      <c r="K6" s="202"/>
      <c r="L6" s="202"/>
      <c r="M6" s="202"/>
      <c r="N6" s="202"/>
      <c r="O6" s="202"/>
      <c r="P6" s="202"/>
      <c r="Q6" s="202"/>
      <c r="R6" s="202"/>
      <c r="S6" s="202"/>
      <c r="T6" s="202"/>
      <c r="U6" s="246"/>
      <c r="W6" s="204"/>
    </row>
    <row r="7" spans="1:27" ht="6" customHeight="1">
      <c r="B7" s="245"/>
      <c r="C7" s="202"/>
      <c r="D7" s="202"/>
      <c r="E7" s="202"/>
      <c r="F7" s="202"/>
      <c r="G7" s="202"/>
      <c r="H7" s="202"/>
      <c r="I7" s="202"/>
      <c r="J7" s="202"/>
      <c r="K7" s="202"/>
      <c r="L7" s="202"/>
      <c r="M7" s="202"/>
      <c r="N7" s="202"/>
      <c r="O7" s="202"/>
      <c r="P7" s="202"/>
      <c r="Q7" s="202"/>
      <c r="R7" s="202"/>
      <c r="S7" s="202"/>
      <c r="T7" s="202"/>
      <c r="U7" s="246"/>
      <c r="W7" s="204"/>
    </row>
    <row r="8" spans="1:27" ht="18" customHeight="1">
      <c r="B8" s="245"/>
      <c r="C8" s="323" t="s">
        <v>46</v>
      </c>
      <c r="D8" s="202"/>
      <c r="E8" s="202"/>
      <c r="F8" s="202"/>
      <c r="G8" s="202"/>
      <c r="H8" s="202"/>
      <c r="I8" s="202"/>
      <c r="J8" s="202"/>
      <c r="K8" s="202"/>
      <c r="L8" s="202"/>
      <c r="M8" s="202"/>
      <c r="N8" s="202"/>
      <c r="O8" s="202"/>
      <c r="P8" s="202"/>
      <c r="Q8" s="202"/>
      <c r="R8" s="202"/>
      <c r="S8" s="202"/>
      <c r="T8" s="202"/>
      <c r="U8" s="246"/>
      <c r="W8" s="204"/>
    </row>
    <row r="9" spans="1:27" ht="18" customHeight="1">
      <c r="B9" s="245"/>
      <c r="C9" s="202" t="s">
        <v>1043</v>
      </c>
      <c r="D9" s="202"/>
      <c r="E9" s="202"/>
      <c r="F9" s="202"/>
      <c r="G9" s="202"/>
      <c r="H9" s="202"/>
      <c r="I9" s="202"/>
      <c r="J9" s="202"/>
      <c r="K9" s="202"/>
      <c r="L9" s="202"/>
      <c r="M9" s="202"/>
      <c r="N9" s="202"/>
      <c r="O9" s="202"/>
      <c r="P9" s="202"/>
      <c r="Q9" s="202"/>
      <c r="R9" s="202"/>
      <c r="S9" s="202"/>
      <c r="T9" s="202"/>
      <c r="U9" s="246"/>
      <c r="W9" s="204"/>
      <c r="Z9" s="651"/>
    </row>
    <row r="10" spans="1:27" ht="18" customHeight="1">
      <c r="B10" s="245"/>
      <c r="C10" s="202" t="s">
        <v>256</v>
      </c>
      <c r="D10" s="202"/>
      <c r="E10" s="202"/>
      <c r="F10" s="202"/>
      <c r="G10" s="202"/>
      <c r="H10" s="202"/>
      <c r="I10" s="202"/>
      <c r="J10" s="202"/>
      <c r="K10" s="202"/>
      <c r="L10" s="202"/>
      <c r="M10" s="202"/>
      <c r="N10" s="202"/>
      <c r="O10" s="202"/>
      <c r="P10" s="202"/>
      <c r="Q10" s="202"/>
      <c r="R10" s="202"/>
      <c r="S10" s="202"/>
      <c r="T10" s="202"/>
      <c r="U10" s="246"/>
      <c r="W10" s="204"/>
    </row>
    <row r="11" spans="1:27" ht="18" customHeight="1">
      <c r="B11" s="245"/>
      <c r="C11" s="202" t="s">
        <v>137</v>
      </c>
      <c r="D11" s="202"/>
      <c r="E11" s="202"/>
      <c r="F11" s="202"/>
      <c r="G11" s="202"/>
      <c r="H11" s="202"/>
      <c r="I11" s="202"/>
      <c r="J11" s="202"/>
      <c r="K11" s="202"/>
      <c r="L11" s="202"/>
      <c r="M11" s="202"/>
      <c r="N11" s="202"/>
      <c r="O11" s="202"/>
      <c r="P11" s="202"/>
      <c r="Q11" s="202"/>
      <c r="R11" s="202"/>
      <c r="S11" s="202"/>
      <c r="T11" s="202"/>
      <c r="U11" s="246"/>
      <c r="W11" s="204"/>
    </row>
    <row r="12" spans="1:27" ht="6" customHeight="1">
      <c r="B12" s="245"/>
      <c r="C12" s="202"/>
      <c r="D12" s="202"/>
      <c r="E12" s="202"/>
      <c r="F12" s="202"/>
      <c r="G12" s="202"/>
      <c r="H12" s="202"/>
      <c r="I12" s="202"/>
      <c r="J12" s="202"/>
      <c r="K12" s="202"/>
      <c r="L12" s="202"/>
      <c r="M12" s="202"/>
      <c r="N12" s="202"/>
      <c r="O12" s="202"/>
      <c r="P12" s="202"/>
      <c r="Q12" s="202"/>
      <c r="R12" s="202"/>
      <c r="S12" s="202"/>
      <c r="T12" s="202"/>
      <c r="U12" s="246"/>
      <c r="W12" s="204"/>
    </row>
    <row r="13" spans="1:27" ht="18" customHeight="1">
      <c r="B13" s="245"/>
      <c r="C13" s="323" t="s">
        <v>264</v>
      </c>
      <c r="D13" s="202"/>
      <c r="E13" s="202"/>
      <c r="F13" s="202"/>
      <c r="G13" s="202"/>
      <c r="H13" s="202"/>
      <c r="I13" s="202"/>
      <c r="J13" s="202"/>
      <c r="K13" s="202"/>
      <c r="L13" s="202"/>
      <c r="M13" s="202"/>
      <c r="N13" s="202"/>
      <c r="O13" s="202"/>
      <c r="P13" s="202"/>
      <c r="Q13" s="202"/>
      <c r="R13" s="202"/>
      <c r="S13" s="202"/>
      <c r="T13" s="202"/>
      <c r="U13" s="246"/>
      <c r="W13" s="204"/>
    </row>
    <row r="14" spans="1:27" ht="18" customHeight="1">
      <c r="B14" s="245"/>
      <c r="C14" s="202" t="s">
        <v>271</v>
      </c>
      <c r="D14" s="202"/>
      <c r="E14" s="202"/>
      <c r="F14" s="202"/>
      <c r="G14" s="202"/>
      <c r="H14" s="202"/>
      <c r="I14" s="202"/>
      <c r="J14" s="202"/>
      <c r="K14" s="202"/>
      <c r="L14" s="202"/>
      <c r="M14" s="202"/>
      <c r="N14" s="202"/>
      <c r="O14" s="202"/>
      <c r="P14" s="202"/>
      <c r="Q14" s="202"/>
      <c r="R14" s="202"/>
      <c r="S14" s="202"/>
      <c r="T14" s="202"/>
      <c r="U14" s="246"/>
      <c r="W14" s="204"/>
    </row>
    <row r="15" spans="1:27" ht="18" customHeight="1">
      <c r="B15" s="245"/>
      <c r="C15" s="202" t="s">
        <v>263</v>
      </c>
      <c r="D15" s="202"/>
      <c r="E15" s="202"/>
      <c r="F15" s="202"/>
      <c r="G15" s="202"/>
      <c r="H15" s="202"/>
      <c r="I15" s="202"/>
      <c r="J15" s="202"/>
      <c r="K15" s="202"/>
      <c r="L15" s="202"/>
      <c r="M15" s="202"/>
      <c r="N15" s="202"/>
      <c r="O15" s="202"/>
      <c r="P15" s="202"/>
      <c r="Q15" s="202"/>
      <c r="R15" s="202"/>
      <c r="S15" s="202"/>
      <c r="T15" s="202"/>
      <c r="U15" s="246"/>
      <c r="W15" s="204"/>
    </row>
    <row r="16" spans="1:27" ht="6" customHeight="1">
      <c r="B16" s="245"/>
      <c r="C16" s="202"/>
      <c r="D16" s="202"/>
      <c r="E16" s="202"/>
      <c r="F16" s="202"/>
      <c r="G16" s="202"/>
      <c r="H16" s="202"/>
      <c r="I16" s="202"/>
      <c r="J16" s="202"/>
      <c r="K16" s="202"/>
      <c r="L16" s="202"/>
      <c r="M16" s="202"/>
      <c r="N16" s="202"/>
      <c r="O16" s="202"/>
      <c r="P16" s="202"/>
      <c r="Q16" s="202"/>
      <c r="R16" s="202"/>
      <c r="S16" s="202"/>
      <c r="T16" s="202"/>
      <c r="U16" s="246"/>
      <c r="W16" s="204"/>
    </row>
    <row r="17" spans="1:24" ht="18" customHeight="1">
      <c r="B17" s="245"/>
      <c r="C17" s="323" t="s">
        <v>47</v>
      </c>
      <c r="D17" s="202"/>
      <c r="E17" s="202"/>
      <c r="F17" s="202"/>
      <c r="G17" s="202"/>
      <c r="H17" s="202"/>
      <c r="I17" s="202"/>
      <c r="J17" s="202"/>
      <c r="K17" s="202"/>
      <c r="L17" s="202"/>
      <c r="M17" s="202"/>
      <c r="N17" s="202"/>
      <c r="O17" s="202"/>
      <c r="P17" s="202"/>
      <c r="Q17" s="202"/>
      <c r="R17" s="202"/>
      <c r="S17" s="202"/>
      <c r="T17" s="202"/>
      <c r="U17" s="246"/>
      <c r="W17" s="204"/>
    </row>
    <row r="18" spans="1:24" ht="18" customHeight="1">
      <c r="B18" s="245"/>
      <c r="C18" s="202" t="s">
        <v>877</v>
      </c>
      <c r="D18" s="202"/>
      <c r="E18" s="202"/>
      <c r="F18" s="202"/>
      <c r="G18" s="202"/>
      <c r="H18" s="202"/>
      <c r="I18" s="202"/>
      <c r="J18" s="202"/>
      <c r="K18" s="202"/>
      <c r="L18" s="202"/>
      <c r="M18" s="202"/>
      <c r="N18" s="202"/>
      <c r="O18" s="202"/>
      <c r="P18" s="202"/>
      <c r="Q18" s="202"/>
      <c r="R18" s="202"/>
      <c r="S18" s="202"/>
      <c r="T18" s="202"/>
      <c r="U18" s="246"/>
      <c r="W18" s="204"/>
      <c r="X18" s="504"/>
    </row>
    <row r="19" spans="1:24" ht="18" customHeight="1">
      <c r="B19" s="245"/>
      <c r="C19" s="212" t="s">
        <v>878</v>
      </c>
      <c r="D19" s="202"/>
      <c r="E19" s="202"/>
      <c r="F19" s="202"/>
      <c r="G19" s="202"/>
      <c r="H19" s="202"/>
      <c r="I19" s="202"/>
      <c r="J19" s="202"/>
      <c r="K19" s="202"/>
      <c r="L19" s="202"/>
      <c r="M19" s="202"/>
      <c r="N19" s="202"/>
      <c r="O19" s="202"/>
      <c r="P19" s="202"/>
      <c r="Q19" s="202"/>
      <c r="R19" s="202"/>
      <c r="S19" s="202"/>
      <c r="T19" s="202"/>
      <c r="U19" s="246"/>
      <c r="W19" s="204"/>
      <c r="X19" s="504"/>
    </row>
    <row r="20" spans="1:24" ht="18" customHeight="1">
      <c r="B20" s="245"/>
      <c r="C20" s="202" t="s">
        <v>879</v>
      </c>
      <c r="D20" s="214"/>
      <c r="E20" s="202"/>
      <c r="F20" s="202"/>
      <c r="G20" s="202"/>
      <c r="H20" s="202"/>
      <c r="I20" s="202"/>
      <c r="J20" s="202"/>
      <c r="K20" s="202"/>
      <c r="L20" s="202"/>
      <c r="M20" s="202"/>
      <c r="N20" s="202"/>
      <c r="O20" s="202"/>
      <c r="P20" s="202"/>
      <c r="Q20" s="202"/>
      <c r="R20" s="202"/>
      <c r="S20" s="202"/>
      <c r="T20" s="202"/>
      <c r="U20" s="246"/>
      <c r="W20" s="204"/>
      <c r="X20" s="504"/>
    </row>
    <row r="21" spans="1:24" ht="18" customHeight="1">
      <c r="B21" s="245"/>
      <c r="C21" s="202" t="s">
        <v>880</v>
      </c>
      <c r="D21" s="214"/>
      <c r="E21" s="202"/>
      <c r="F21" s="202"/>
      <c r="G21" s="202"/>
      <c r="H21" s="202"/>
      <c r="I21" s="202"/>
      <c r="J21" s="202"/>
      <c r="K21" s="202"/>
      <c r="L21" s="202"/>
      <c r="M21" s="202"/>
      <c r="N21" s="202"/>
      <c r="O21" s="202"/>
      <c r="P21" s="202"/>
      <c r="Q21" s="202"/>
      <c r="R21" s="202"/>
      <c r="S21" s="202"/>
      <c r="T21" s="202"/>
      <c r="U21" s="246"/>
      <c r="W21" s="204"/>
      <c r="X21" s="504"/>
    </row>
    <row r="22" spans="1:24" ht="18" customHeight="1">
      <c r="B22" s="245"/>
      <c r="C22" s="202" t="s">
        <v>881</v>
      </c>
      <c r="D22" s="214"/>
      <c r="E22" s="202"/>
      <c r="F22" s="202"/>
      <c r="G22" s="202"/>
      <c r="H22" s="202"/>
      <c r="I22" s="202"/>
      <c r="J22" s="202"/>
      <c r="K22" s="202"/>
      <c r="L22" s="202"/>
      <c r="M22" s="202"/>
      <c r="N22" s="202"/>
      <c r="O22" s="202"/>
      <c r="P22" s="202"/>
      <c r="Q22" s="202"/>
      <c r="R22" s="202"/>
      <c r="S22" s="202"/>
      <c r="T22" s="202"/>
      <c r="U22" s="246"/>
      <c r="W22" s="204"/>
      <c r="X22" s="504"/>
    </row>
    <row r="23" spans="1:24" ht="14" customHeight="1" thickBot="1">
      <c r="B23" s="247"/>
      <c r="C23" s="248"/>
      <c r="D23" s="248"/>
      <c r="E23" s="248"/>
      <c r="F23" s="248"/>
      <c r="G23" s="248"/>
      <c r="H23" s="248"/>
      <c r="I23" s="248"/>
      <c r="J23" s="248"/>
      <c r="K23" s="248"/>
      <c r="L23" s="248"/>
      <c r="M23" s="248"/>
      <c r="N23" s="248"/>
      <c r="O23" s="248"/>
      <c r="P23" s="248"/>
      <c r="Q23" s="248"/>
      <c r="R23" s="248"/>
      <c r="S23" s="248"/>
      <c r="T23" s="248"/>
      <c r="U23" s="249"/>
      <c r="W23" s="204"/>
      <c r="X23" s="504"/>
    </row>
    <row r="24" spans="1:24" ht="18" customHeight="1" thickBot="1">
      <c r="B24" s="250"/>
      <c r="C24" s="250"/>
      <c r="D24" s="250"/>
      <c r="E24" s="250"/>
      <c r="F24" s="250"/>
      <c r="G24" s="250"/>
      <c r="H24" s="250"/>
      <c r="I24" s="250"/>
      <c r="J24" s="250"/>
      <c r="K24" s="250"/>
      <c r="L24" s="250"/>
      <c r="M24" s="250"/>
      <c r="N24" s="250"/>
      <c r="O24" s="250"/>
      <c r="P24" s="250"/>
      <c r="Q24" s="250"/>
      <c r="R24" s="250"/>
      <c r="S24" s="250"/>
      <c r="T24" s="250"/>
      <c r="U24" s="250"/>
      <c r="W24" s="204"/>
      <c r="X24" s="504"/>
    </row>
    <row r="25" spans="1:24" ht="18" customHeight="1">
      <c r="A25" s="1015"/>
      <c r="B25" s="1016"/>
      <c r="C25" s="251"/>
      <c r="D25" s="251"/>
      <c r="E25" s="251"/>
      <c r="F25" s="251"/>
      <c r="G25" s="251"/>
      <c r="H25" s="251"/>
      <c r="I25" s="250"/>
      <c r="J25" s="250"/>
      <c r="K25" s="250"/>
      <c r="L25" s="250"/>
      <c r="M25" s="252"/>
      <c r="N25" s="252"/>
      <c r="O25" s="252"/>
      <c r="P25" s="252"/>
      <c r="Q25" s="250"/>
      <c r="R25" s="250"/>
      <c r="S25" s="250"/>
      <c r="T25" s="250"/>
      <c r="U25" s="253"/>
      <c r="W25" s="204"/>
      <c r="X25" s="504"/>
    </row>
    <row r="26" spans="1:24" ht="24" customHeight="1">
      <c r="A26" s="1015"/>
      <c r="B26" s="1017"/>
      <c r="C26" s="1141" t="s">
        <v>140</v>
      </c>
      <c r="D26" s="1142"/>
      <c r="E26" s="1142"/>
      <c r="F26" s="1142"/>
      <c r="G26" s="1142"/>
      <c r="H26" s="1142"/>
      <c r="I26" s="1143" t="s">
        <v>141</v>
      </c>
      <c r="J26" s="1144"/>
      <c r="K26" s="1144"/>
      <c r="L26" s="1144"/>
      <c r="M26" s="1144"/>
      <c r="N26" s="1144"/>
      <c r="O26" s="1144"/>
      <c r="P26" s="1144"/>
      <c r="Q26" s="1144"/>
      <c r="R26" s="1144"/>
      <c r="S26" s="1144"/>
      <c r="T26" s="1145"/>
      <c r="U26" s="227"/>
      <c r="W26" s="204"/>
      <c r="X26" s="504"/>
    </row>
    <row r="27" spans="1:24" ht="24" customHeight="1">
      <c r="A27" s="1015"/>
      <c r="B27" s="1017"/>
      <c r="C27" s="1152" t="s">
        <v>791</v>
      </c>
      <c r="D27" s="1153"/>
      <c r="E27" s="1153"/>
      <c r="I27" s="1146" t="s">
        <v>1060</v>
      </c>
      <c r="J27" s="1146"/>
      <c r="K27" s="1146"/>
      <c r="L27" s="1146"/>
      <c r="M27" s="1146"/>
      <c r="N27" s="1146"/>
      <c r="O27" s="1146"/>
      <c r="P27" s="1146"/>
      <c r="Q27" s="1146"/>
      <c r="R27" s="1146"/>
      <c r="S27" s="1146"/>
      <c r="T27" s="1146"/>
      <c r="U27" s="227"/>
      <c r="W27" s="204"/>
      <c r="X27" s="504"/>
    </row>
    <row r="28" spans="1:24" ht="14" customHeight="1">
      <c r="A28" s="1015"/>
      <c r="B28" s="1017"/>
      <c r="C28" s="1154"/>
      <c r="D28" s="1154"/>
      <c r="E28" s="1154"/>
      <c r="F28" s="1161" t="s">
        <v>794</v>
      </c>
      <c r="G28" s="1162"/>
      <c r="H28" s="1163"/>
      <c r="I28" s="1165" t="s">
        <v>795</v>
      </c>
      <c r="J28" s="1166"/>
      <c r="K28" s="1167"/>
      <c r="L28" s="1165" t="s">
        <v>796</v>
      </c>
      <c r="M28" s="1166"/>
      <c r="N28" s="1167"/>
      <c r="O28" s="1165" t="s">
        <v>797</v>
      </c>
      <c r="P28" s="1166"/>
      <c r="Q28" s="1168"/>
      <c r="R28" s="1169" t="s">
        <v>798</v>
      </c>
      <c r="S28" s="1162"/>
      <c r="T28" s="1170"/>
      <c r="U28" s="227"/>
      <c r="W28" s="204"/>
      <c r="X28" s="504"/>
    </row>
    <row r="29" spans="1:24" ht="14" customHeight="1">
      <c r="A29" s="1015"/>
      <c r="B29" s="1017"/>
      <c r="C29" s="1155" t="s">
        <v>792</v>
      </c>
      <c r="D29" s="1156"/>
      <c r="E29" s="1157"/>
      <c r="F29" s="1171"/>
      <c r="G29" s="1171"/>
      <c r="H29" s="1171"/>
      <c r="I29" s="1171"/>
      <c r="J29" s="1171"/>
      <c r="K29" s="1171"/>
      <c r="L29" s="1171"/>
      <c r="M29" s="1171"/>
      <c r="N29" s="1171"/>
      <c r="O29" s="1171"/>
      <c r="P29" s="1171"/>
      <c r="Q29" s="1171"/>
      <c r="R29" s="1171"/>
      <c r="S29" s="1171"/>
      <c r="T29" s="1172"/>
      <c r="U29" s="227"/>
      <c r="W29" s="204"/>
      <c r="X29" s="504"/>
    </row>
    <row r="30" spans="1:24" ht="14" customHeight="1">
      <c r="A30" s="1015"/>
      <c r="B30" s="1017"/>
      <c r="C30" s="1158" t="s">
        <v>793</v>
      </c>
      <c r="D30" s="1159"/>
      <c r="E30" s="1160"/>
      <c r="F30" s="1164"/>
      <c r="G30" s="1164"/>
      <c r="H30" s="1164"/>
      <c r="I30" s="1164"/>
      <c r="J30" s="1164"/>
      <c r="K30" s="1164"/>
      <c r="L30" s="1164"/>
      <c r="M30" s="1164"/>
      <c r="N30" s="1164"/>
      <c r="O30" s="1164"/>
      <c r="P30" s="1164"/>
      <c r="Q30" s="1164"/>
      <c r="R30" s="1164"/>
      <c r="S30" s="1164"/>
      <c r="T30" s="1173"/>
      <c r="U30" s="227"/>
      <c r="W30" s="204"/>
      <c r="X30" s="504"/>
    </row>
    <row r="31" spans="1:24" ht="14" customHeight="1">
      <c r="A31" s="1015"/>
      <c r="B31" s="1017"/>
      <c r="C31" s="1158" t="s">
        <v>789</v>
      </c>
      <c r="D31" s="1159"/>
      <c r="E31" s="1160"/>
      <c r="F31" s="1164"/>
      <c r="G31" s="1164"/>
      <c r="H31" s="1164"/>
      <c r="I31" s="1164"/>
      <c r="J31" s="1164"/>
      <c r="K31" s="1164"/>
      <c r="L31" s="1164"/>
      <c r="M31" s="1164"/>
      <c r="N31" s="1164"/>
      <c r="O31" s="1164"/>
      <c r="P31" s="1164"/>
      <c r="Q31" s="1164"/>
      <c r="R31" s="1164"/>
      <c r="S31" s="1164"/>
      <c r="T31" s="1173"/>
      <c r="U31" s="227"/>
      <c r="W31" s="204"/>
      <c r="X31" s="504"/>
    </row>
    <row r="32" spans="1:24" ht="14" customHeight="1">
      <c r="A32" s="1015"/>
      <c r="B32" s="1017"/>
      <c r="C32" s="1158" t="s">
        <v>892</v>
      </c>
      <c r="D32" s="1159"/>
      <c r="E32" s="1160"/>
      <c r="F32" s="1164"/>
      <c r="G32" s="1164"/>
      <c r="H32" s="1164"/>
      <c r="I32" s="1164"/>
      <c r="J32" s="1164"/>
      <c r="K32" s="1164"/>
      <c r="L32" s="1164"/>
      <c r="M32" s="1164"/>
      <c r="N32" s="1164"/>
      <c r="O32" s="1164"/>
      <c r="P32" s="1164"/>
      <c r="Q32" s="1164"/>
      <c r="R32" s="1164"/>
      <c r="S32" s="1164"/>
      <c r="T32" s="1173"/>
      <c r="U32" s="227"/>
      <c r="W32" s="204"/>
      <c r="X32" s="504"/>
    </row>
    <row r="33" spans="1:24" ht="14" customHeight="1">
      <c r="A33" s="1015"/>
      <c r="B33" s="1017"/>
      <c r="C33" s="1174" t="s">
        <v>893</v>
      </c>
      <c r="D33" s="1175"/>
      <c r="E33" s="1176"/>
      <c r="F33" s="1177"/>
      <c r="G33" s="1178"/>
      <c r="H33" s="1179"/>
      <c r="I33" s="1180"/>
      <c r="J33" s="1180"/>
      <c r="K33" s="1180"/>
      <c r="L33" s="1180"/>
      <c r="M33" s="1180"/>
      <c r="N33" s="1180"/>
      <c r="O33" s="1180"/>
      <c r="P33" s="1180"/>
      <c r="Q33" s="1180"/>
      <c r="R33" s="1180"/>
      <c r="S33" s="1180"/>
      <c r="T33" s="1181"/>
      <c r="U33" s="227"/>
      <c r="W33" s="204"/>
      <c r="X33" s="504"/>
    </row>
    <row r="34" spans="1:24" ht="18" customHeight="1" thickBot="1">
      <c r="A34" s="1015"/>
      <c r="B34" s="1018"/>
      <c r="C34" s="240"/>
      <c r="D34" s="240"/>
      <c r="E34" s="240"/>
      <c r="F34" s="240"/>
      <c r="G34" s="240"/>
      <c r="H34" s="240"/>
      <c r="I34" s="905"/>
      <c r="J34" s="905"/>
      <c r="K34" s="905"/>
      <c r="L34" s="905"/>
      <c r="M34" s="905"/>
      <c r="N34" s="905"/>
      <c r="O34" s="905"/>
      <c r="P34" s="905"/>
      <c r="Q34" s="905"/>
      <c r="R34" s="905"/>
      <c r="S34" s="905"/>
      <c r="T34" s="905"/>
      <c r="U34" s="241"/>
      <c r="W34" s="204"/>
      <c r="X34" s="504"/>
    </row>
    <row r="35" spans="1:24" ht="18" customHeight="1" thickBot="1">
      <c r="W35" s="204"/>
      <c r="X35" s="504"/>
    </row>
    <row r="36" spans="1:24" ht="32" customHeight="1">
      <c r="B36" s="256"/>
      <c r="C36" s="257" t="s">
        <v>17</v>
      </c>
      <c r="D36" s="257"/>
      <c r="E36" s="258"/>
      <c r="F36" s="258"/>
      <c r="G36" s="258"/>
      <c r="H36" s="258"/>
      <c r="I36" s="258"/>
      <c r="J36" s="258"/>
      <c r="K36" s="258"/>
      <c r="L36" s="258"/>
      <c r="M36" s="258"/>
      <c r="N36" s="258"/>
      <c r="O36" s="258"/>
      <c r="P36" s="258"/>
      <c r="Q36" s="258"/>
      <c r="R36" s="258"/>
      <c r="S36" s="258"/>
      <c r="T36" s="258"/>
      <c r="U36" s="259"/>
      <c r="W36" s="204"/>
      <c r="X36" s="504"/>
    </row>
    <row r="37" spans="1:24" ht="12" customHeight="1">
      <c r="B37" s="254"/>
      <c r="U37" s="227"/>
      <c r="W37" s="204"/>
      <c r="X37" s="504"/>
    </row>
    <row r="38" spans="1:24" ht="18" customHeight="1">
      <c r="B38" s="254"/>
      <c r="C38" s="260" t="s">
        <v>678</v>
      </c>
      <c r="D38" s="788"/>
      <c r="E38" s="788"/>
      <c r="F38" s="788"/>
      <c r="G38" s="788"/>
      <c r="H38" s="788"/>
      <c r="I38" s="788"/>
      <c r="J38" s="788"/>
      <c r="K38" s="788"/>
      <c r="L38" s="789" t="s">
        <v>33</v>
      </c>
      <c r="M38" s="1130" t="s">
        <v>676</v>
      </c>
      <c r="N38" s="1131"/>
      <c r="O38" s="1131"/>
      <c r="P38" s="1131"/>
      <c r="Q38" s="1131"/>
      <c r="R38" s="1131"/>
      <c r="S38" s="1131"/>
      <c r="T38" s="1132"/>
      <c r="U38" s="227"/>
      <c r="W38" s="204"/>
      <c r="X38" s="504"/>
    </row>
    <row r="39" spans="1:24" ht="18" customHeight="1">
      <c r="B39" s="254"/>
      <c r="C39" s="262" t="s">
        <v>677</v>
      </c>
      <c r="D39" s="263"/>
      <c r="N39" s="264"/>
      <c r="O39" s="264"/>
      <c r="P39" s="264"/>
      <c r="Q39" s="264"/>
      <c r="R39" s="264"/>
      <c r="S39" s="264"/>
      <c r="T39" s="264"/>
      <c r="U39" s="227"/>
      <c r="W39" s="204"/>
      <c r="X39" s="504"/>
    </row>
    <row r="40" spans="1:24" ht="14" customHeight="1">
      <c r="B40" s="254"/>
      <c r="M40" s="265" t="s">
        <v>34</v>
      </c>
      <c r="N40" s="265" t="s">
        <v>34</v>
      </c>
      <c r="O40" s="265" t="s">
        <v>34</v>
      </c>
      <c r="P40" s="265" t="s">
        <v>34</v>
      </c>
      <c r="Q40" s="265" t="s">
        <v>34</v>
      </c>
      <c r="R40" s="265" t="s">
        <v>34</v>
      </c>
      <c r="S40" s="265" t="s">
        <v>34</v>
      </c>
      <c r="T40" s="265" t="s">
        <v>34</v>
      </c>
      <c r="U40" s="227"/>
      <c r="W40" s="204"/>
      <c r="X40" s="504"/>
    </row>
    <row r="41" spans="1:24" ht="24" customHeight="1">
      <c r="B41" s="254"/>
      <c r="C41" s="266" t="s">
        <v>27</v>
      </c>
      <c r="D41" s="1151" t="str">
        <f>TBS_1a</f>
        <v/>
      </c>
      <c r="E41" s="1151"/>
      <c r="F41" s="1151"/>
      <c r="G41" s="1151"/>
      <c r="H41" s="1151"/>
      <c r="I41" s="1151"/>
      <c r="J41" s="266" t="s">
        <v>27</v>
      </c>
      <c r="M41" s="266" t="s">
        <v>27</v>
      </c>
      <c r="N41" s="1151" t="str">
        <f>TBS_1b</f>
        <v/>
      </c>
      <c r="O41" s="1151"/>
      <c r="P41" s="1151"/>
      <c r="Q41" s="1151"/>
      <c r="R41" s="1151"/>
      <c r="S41" s="1151"/>
      <c r="T41" s="266" t="s">
        <v>27</v>
      </c>
      <c r="U41" s="227"/>
      <c r="W41" s="204"/>
      <c r="X41" s="504"/>
    </row>
    <row r="42" spans="1:24" ht="14" customHeight="1">
      <c r="B42" s="254"/>
      <c r="D42" s="267"/>
      <c r="E42" s="267"/>
      <c r="F42" s="267"/>
      <c r="G42" s="267"/>
      <c r="H42" s="267"/>
      <c r="I42" s="267"/>
      <c r="N42" s="267"/>
      <c r="O42" s="267"/>
      <c r="P42" s="267"/>
      <c r="Q42" s="267"/>
      <c r="R42" s="267"/>
      <c r="S42" s="267"/>
      <c r="U42" s="227"/>
      <c r="W42" s="204"/>
      <c r="X42" s="504"/>
    </row>
    <row r="43" spans="1:24" ht="24" customHeight="1">
      <c r="B43" s="254"/>
      <c r="C43" s="1147" t="s">
        <v>277</v>
      </c>
      <c r="D43" s="1148"/>
      <c r="E43" s="1148"/>
      <c r="F43" s="1148"/>
      <c r="G43" s="1148"/>
      <c r="H43" s="1148"/>
      <c r="I43" s="1148"/>
      <c r="J43" s="1149"/>
      <c r="K43" s="268"/>
      <c r="L43" s="269"/>
      <c r="M43" s="1143" t="s">
        <v>277</v>
      </c>
      <c r="N43" s="1144"/>
      <c r="O43" s="1144"/>
      <c r="P43" s="1144"/>
      <c r="Q43" s="1144"/>
      <c r="R43" s="1144"/>
      <c r="S43" s="1144"/>
      <c r="T43" s="1145"/>
      <c r="U43" s="227"/>
      <c r="W43" s="204"/>
      <c r="X43" s="504"/>
    </row>
    <row r="44" spans="1:24" ht="18" customHeight="1">
      <c r="B44" s="254"/>
      <c r="C44" s="1150" t="s">
        <v>278</v>
      </c>
      <c r="D44" s="1150"/>
      <c r="E44" s="1150"/>
      <c r="F44" s="1150"/>
      <c r="G44" s="1150"/>
      <c r="H44" s="1150"/>
      <c r="I44" s="1150"/>
      <c r="J44" s="1150"/>
      <c r="K44" s="270"/>
      <c r="L44" s="237"/>
      <c r="M44" s="1150" t="s">
        <v>278</v>
      </c>
      <c r="N44" s="1150"/>
      <c r="O44" s="1150"/>
      <c r="P44" s="1150"/>
      <c r="Q44" s="1150"/>
      <c r="R44" s="1150"/>
      <c r="S44" s="1150"/>
      <c r="T44" s="1150"/>
      <c r="U44" s="239"/>
      <c r="W44" s="204"/>
      <c r="X44" s="504"/>
    </row>
    <row r="45" spans="1:24" ht="24" customHeight="1">
      <c r="B45" s="271"/>
      <c r="C45" s="272" t="s">
        <v>142</v>
      </c>
      <c r="D45" s="272"/>
      <c r="E45" s="272"/>
      <c r="F45" s="272"/>
      <c r="G45" s="272"/>
      <c r="H45" s="272"/>
      <c r="I45" s="272"/>
      <c r="J45" s="272"/>
      <c r="K45" s="273"/>
      <c r="L45" s="272"/>
      <c r="M45" s="272" t="s">
        <v>142</v>
      </c>
      <c r="N45" s="272"/>
      <c r="O45" s="272"/>
      <c r="P45" s="272"/>
      <c r="Q45" s="272"/>
      <c r="R45" s="272"/>
      <c r="S45" s="272"/>
      <c r="T45" s="272"/>
      <c r="U45" s="235"/>
      <c r="W45" s="204"/>
      <c r="X45" s="504"/>
    </row>
    <row r="46" spans="1:24" ht="14" customHeight="1">
      <c r="B46" s="254"/>
      <c r="E46" s="1138" t="str">
        <f>TBS_F11</f>
        <v/>
      </c>
      <c r="F46" s="1138"/>
      <c r="G46" s="1138"/>
      <c r="H46" s="1138"/>
      <c r="I46" s="1138"/>
      <c r="J46" s="1138"/>
      <c r="K46" s="268"/>
      <c r="O46" s="1138" t="str">
        <f>TBS_F21</f>
        <v/>
      </c>
      <c r="P46" s="1138"/>
      <c r="Q46" s="1138"/>
      <c r="R46" s="1138"/>
      <c r="S46" s="1138"/>
      <c r="T46" s="1138"/>
      <c r="U46" s="227"/>
      <c r="W46" s="204"/>
      <c r="X46" s="504"/>
    </row>
    <row r="47" spans="1:24" ht="14" customHeight="1">
      <c r="B47" s="254"/>
      <c r="D47" s="274" t="s">
        <v>240</v>
      </c>
      <c r="E47" s="1134" t="s">
        <v>3</v>
      </c>
      <c r="F47" s="1135"/>
      <c r="G47" s="1134" t="s">
        <v>7</v>
      </c>
      <c r="H47" s="1135"/>
      <c r="I47" s="1136" t="s">
        <v>741</v>
      </c>
      <c r="J47" s="1137"/>
      <c r="K47" s="268"/>
      <c r="N47" s="274" t="s">
        <v>240</v>
      </c>
      <c r="O47" s="1134" t="s">
        <v>3</v>
      </c>
      <c r="P47" s="1135"/>
      <c r="Q47" s="1134" t="s">
        <v>7</v>
      </c>
      <c r="R47" s="1135"/>
      <c r="S47" s="1136" t="s">
        <v>741</v>
      </c>
      <c r="T47" s="1137"/>
      <c r="U47" s="227"/>
      <c r="W47" s="204"/>
      <c r="X47" s="504"/>
    </row>
    <row r="48" spans="1:24" ht="24" customHeight="1">
      <c r="B48" s="254"/>
      <c r="C48" s="275" t="s">
        <v>239</v>
      </c>
      <c r="D48" s="276"/>
      <c r="E48" s="277" t="s">
        <v>20</v>
      </c>
      <c r="F48" s="278" t="s">
        <v>99</v>
      </c>
      <c r="G48" s="277" t="s">
        <v>20</v>
      </c>
      <c r="H48" s="278" t="s">
        <v>99</v>
      </c>
      <c r="I48" s="277" t="s">
        <v>20</v>
      </c>
      <c r="J48" s="278" t="s">
        <v>99</v>
      </c>
      <c r="K48" s="268"/>
      <c r="M48" s="275" t="s">
        <v>239</v>
      </c>
      <c r="N48" s="276"/>
      <c r="O48" s="277" t="s">
        <v>20</v>
      </c>
      <c r="P48" s="278" t="s">
        <v>99</v>
      </c>
      <c r="Q48" s="277" t="s">
        <v>20</v>
      </c>
      <c r="R48" s="278" t="s">
        <v>99</v>
      </c>
      <c r="S48" s="277" t="s">
        <v>20</v>
      </c>
      <c r="T48" s="278" t="s">
        <v>99</v>
      </c>
      <c r="U48" s="227"/>
      <c r="W48" s="204"/>
      <c r="X48" s="504"/>
    </row>
    <row r="49" spans="2:24" ht="18" customHeight="1">
      <c r="B49" s="254"/>
      <c r="C49" s="279" t="s">
        <v>4</v>
      </c>
      <c r="E49" s="280"/>
      <c r="F49" s="281"/>
      <c r="G49" s="280"/>
      <c r="H49" s="281"/>
      <c r="I49" s="280"/>
      <c r="J49" s="281"/>
      <c r="K49" s="268"/>
      <c r="M49" s="279" t="s">
        <v>4</v>
      </c>
      <c r="O49" s="280"/>
      <c r="P49" s="281"/>
      <c r="Q49" s="280"/>
      <c r="R49" s="281"/>
      <c r="S49" s="280"/>
      <c r="T49" s="281"/>
      <c r="U49" s="227"/>
      <c r="W49" s="204"/>
      <c r="X49" s="504"/>
    </row>
    <row r="50" spans="2:24" ht="18" customHeight="1">
      <c r="B50" s="254"/>
      <c r="C50" s="279" t="s">
        <v>5</v>
      </c>
      <c r="E50" s="280"/>
      <c r="F50" s="281"/>
      <c r="G50" s="280"/>
      <c r="H50" s="281"/>
      <c r="I50" s="280"/>
      <c r="J50" s="281"/>
      <c r="K50" s="268"/>
      <c r="M50" s="279" t="s">
        <v>5</v>
      </c>
      <c r="O50" s="280"/>
      <c r="P50" s="281"/>
      <c r="Q50" s="280"/>
      <c r="R50" s="281"/>
      <c r="S50" s="280"/>
      <c r="T50" s="281"/>
      <c r="U50" s="227"/>
      <c r="W50" s="204"/>
      <c r="X50" s="504"/>
    </row>
    <row r="51" spans="2:24" ht="18" customHeight="1">
      <c r="B51" s="254"/>
      <c r="C51" s="279" t="s">
        <v>296</v>
      </c>
      <c r="E51" s="280"/>
      <c r="F51" s="281"/>
      <c r="G51" s="280"/>
      <c r="H51" s="281"/>
      <c r="I51" s="280"/>
      <c r="J51" s="281"/>
      <c r="K51" s="268"/>
      <c r="M51" s="279" t="s">
        <v>296</v>
      </c>
      <c r="O51" s="280"/>
      <c r="P51" s="281"/>
      <c r="Q51" s="280"/>
      <c r="R51" s="281"/>
      <c r="S51" s="280"/>
      <c r="T51" s="281"/>
      <c r="U51" s="227"/>
      <c r="W51" s="204"/>
      <c r="X51" s="504"/>
    </row>
    <row r="52" spans="2:24" ht="18" customHeight="1">
      <c r="B52" s="254"/>
      <c r="C52" s="282" t="s">
        <v>6</v>
      </c>
      <c r="D52" s="276"/>
      <c r="E52" s="280"/>
      <c r="F52" s="281"/>
      <c r="G52" s="280"/>
      <c r="H52" s="281"/>
      <c r="I52" s="280"/>
      <c r="J52" s="281"/>
      <c r="K52" s="268"/>
      <c r="M52" s="282" t="s">
        <v>6</v>
      </c>
      <c r="N52" s="276"/>
      <c r="O52" s="280"/>
      <c r="P52" s="281"/>
      <c r="Q52" s="280"/>
      <c r="R52" s="281"/>
      <c r="S52" s="280"/>
      <c r="T52" s="281"/>
      <c r="U52" s="227"/>
      <c r="W52" s="204"/>
      <c r="X52" s="504"/>
    </row>
    <row r="53" spans="2:24" ht="4" customHeight="1">
      <c r="B53" s="254"/>
      <c r="K53" s="268"/>
      <c r="U53" s="227"/>
      <c r="W53" s="204"/>
      <c r="X53" s="504"/>
    </row>
    <row r="54" spans="2:24" ht="18" customHeight="1">
      <c r="B54" s="254"/>
      <c r="C54" s="283" t="s">
        <v>207</v>
      </c>
      <c r="E54" s="280"/>
      <c r="F54" s="281"/>
      <c r="G54" s="284" t="s">
        <v>895</v>
      </c>
      <c r="K54" s="268"/>
      <c r="M54" s="283" t="s">
        <v>207</v>
      </c>
      <c r="O54" s="280"/>
      <c r="P54" s="281"/>
      <c r="Q54" s="284" t="s">
        <v>895</v>
      </c>
      <c r="U54" s="227"/>
      <c r="W54" s="204"/>
      <c r="X54" s="504"/>
    </row>
    <row r="55" spans="2:24" ht="4" customHeight="1">
      <c r="B55" s="254"/>
      <c r="C55" s="279"/>
      <c r="E55" s="285"/>
      <c r="F55" s="285"/>
      <c r="G55" s="286"/>
      <c r="K55" s="268"/>
      <c r="M55" s="279"/>
      <c r="O55" s="285"/>
      <c r="P55" s="285"/>
      <c r="Q55" s="286"/>
      <c r="U55" s="227"/>
      <c r="W55" s="204"/>
      <c r="X55" s="504"/>
    </row>
    <row r="56" spans="2:24" ht="18" customHeight="1">
      <c r="B56" s="254"/>
      <c r="C56" s="279" t="s">
        <v>0</v>
      </c>
      <c r="E56" s="287" t="s">
        <v>45</v>
      </c>
      <c r="F56" s="288"/>
      <c r="G56" s="284" t="s">
        <v>894</v>
      </c>
      <c r="H56" s="289"/>
      <c r="K56" s="268"/>
      <c r="M56" s="279" t="s">
        <v>0</v>
      </c>
      <c r="O56" s="287" t="s">
        <v>45</v>
      </c>
      <c r="P56" s="288"/>
      <c r="Q56" s="284" t="s">
        <v>894</v>
      </c>
      <c r="R56" s="289"/>
      <c r="U56" s="227"/>
      <c r="W56" s="204"/>
      <c r="X56" s="504"/>
    </row>
    <row r="57" spans="2:24" ht="4" customHeight="1">
      <c r="B57" s="254"/>
      <c r="C57" s="279"/>
      <c r="E57" s="287"/>
      <c r="F57" s="694"/>
      <c r="G57" s="284"/>
      <c r="H57" s="289"/>
      <c r="K57" s="268"/>
      <c r="M57" s="279"/>
      <c r="O57" s="287"/>
      <c r="P57" s="694"/>
      <c r="Q57" s="284"/>
      <c r="R57" s="289"/>
      <c r="U57" s="227"/>
      <c r="W57" s="204"/>
      <c r="X57" s="504"/>
    </row>
    <row r="58" spans="2:24" ht="18" customHeight="1">
      <c r="B58" s="254"/>
      <c r="C58" s="279" t="s">
        <v>871</v>
      </c>
      <c r="E58" s="287"/>
      <c r="F58" s="288"/>
      <c r="G58" s="284" t="s">
        <v>896</v>
      </c>
      <c r="H58" s="289"/>
      <c r="K58" s="268"/>
      <c r="M58" s="279" t="s">
        <v>871</v>
      </c>
      <c r="O58" s="287"/>
      <c r="P58" s="288"/>
      <c r="Q58" s="284" t="s">
        <v>896</v>
      </c>
      <c r="R58" s="289"/>
      <c r="U58" s="227"/>
      <c r="W58" s="204"/>
      <c r="X58" s="504"/>
    </row>
    <row r="59" spans="2:24" ht="14" customHeight="1">
      <c r="B59" s="236"/>
      <c r="C59" s="237"/>
      <c r="D59" s="237"/>
      <c r="E59" s="237"/>
      <c r="F59" s="237"/>
      <c r="G59" s="237"/>
      <c r="H59" s="237"/>
      <c r="I59" s="237"/>
      <c r="J59" s="237"/>
      <c r="K59" s="270"/>
      <c r="L59" s="237"/>
      <c r="M59" s="237"/>
      <c r="N59" s="237"/>
      <c r="O59" s="237"/>
      <c r="P59" s="237"/>
      <c r="Q59" s="237"/>
      <c r="R59" s="237"/>
      <c r="S59" s="237"/>
      <c r="T59" s="237"/>
      <c r="U59" s="239"/>
      <c r="W59" s="204"/>
      <c r="X59" s="504"/>
    </row>
    <row r="60" spans="2:24" ht="24" customHeight="1">
      <c r="B60" s="290"/>
      <c r="C60" s="272" t="s">
        <v>143</v>
      </c>
      <c r="D60" s="272"/>
      <c r="E60" s="272"/>
      <c r="F60" s="272"/>
      <c r="G60" s="272"/>
      <c r="H60" s="272"/>
      <c r="I60" s="272"/>
      <c r="J60" s="272"/>
      <c r="K60" s="273"/>
      <c r="L60" s="272"/>
      <c r="M60" s="272" t="s">
        <v>143</v>
      </c>
      <c r="N60" s="272"/>
      <c r="O60" s="272"/>
      <c r="P60" s="272"/>
      <c r="Q60" s="272"/>
      <c r="R60" s="272"/>
      <c r="S60" s="272"/>
      <c r="T60" s="272"/>
      <c r="U60" s="235"/>
      <c r="W60" s="204"/>
      <c r="X60" s="504"/>
    </row>
    <row r="61" spans="2:24" ht="14" customHeight="1">
      <c r="B61" s="254"/>
      <c r="E61" s="1138" t="str">
        <f>TBS_F12</f>
        <v/>
      </c>
      <c r="F61" s="1138"/>
      <c r="G61" s="1138"/>
      <c r="H61" s="1138"/>
      <c r="I61" s="1138"/>
      <c r="J61" s="1138"/>
      <c r="K61" s="268"/>
      <c r="O61" s="1138" t="str">
        <f>TBS_F22</f>
        <v/>
      </c>
      <c r="P61" s="1138"/>
      <c r="Q61" s="1138"/>
      <c r="R61" s="1138"/>
      <c r="S61" s="1138"/>
      <c r="T61" s="1138"/>
      <c r="U61" s="227"/>
      <c r="W61" s="204"/>
      <c r="X61" s="504"/>
    </row>
    <row r="62" spans="2:24" ht="14" customHeight="1">
      <c r="B62" s="254"/>
      <c r="D62" s="274" t="s">
        <v>240</v>
      </c>
      <c r="E62" s="1134" t="s">
        <v>3</v>
      </c>
      <c r="F62" s="1135"/>
      <c r="G62" s="1134" t="s">
        <v>7</v>
      </c>
      <c r="H62" s="1135"/>
      <c r="I62" s="1136" t="s">
        <v>741</v>
      </c>
      <c r="J62" s="1137"/>
      <c r="K62" s="268"/>
      <c r="N62" s="274" t="s">
        <v>240</v>
      </c>
      <c r="O62" s="1134" t="s">
        <v>3</v>
      </c>
      <c r="P62" s="1135"/>
      <c r="Q62" s="1134" t="s">
        <v>7</v>
      </c>
      <c r="R62" s="1135"/>
      <c r="S62" s="1136" t="s">
        <v>741</v>
      </c>
      <c r="T62" s="1137"/>
      <c r="U62" s="227"/>
      <c r="W62" s="204"/>
      <c r="X62" s="504"/>
    </row>
    <row r="63" spans="2:24" ht="24" customHeight="1">
      <c r="B63" s="254"/>
      <c r="C63" s="275" t="s">
        <v>239</v>
      </c>
      <c r="D63" s="276"/>
      <c r="E63" s="277" t="s">
        <v>20</v>
      </c>
      <c r="F63" s="278" t="s">
        <v>99</v>
      </c>
      <c r="G63" s="277" t="s">
        <v>20</v>
      </c>
      <c r="H63" s="278" t="s">
        <v>99</v>
      </c>
      <c r="I63" s="277" t="s">
        <v>20</v>
      </c>
      <c r="J63" s="278" t="s">
        <v>99</v>
      </c>
      <c r="K63" s="268"/>
      <c r="M63" s="275" t="s">
        <v>239</v>
      </c>
      <c r="N63" s="276"/>
      <c r="O63" s="277" t="s">
        <v>20</v>
      </c>
      <c r="P63" s="278" t="s">
        <v>99</v>
      </c>
      <c r="Q63" s="277" t="s">
        <v>20</v>
      </c>
      <c r="R63" s="278" t="s">
        <v>99</v>
      </c>
      <c r="S63" s="277" t="s">
        <v>20</v>
      </c>
      <c r="T63" s="278" t="s">
        <v>99</v>
      </c>
      <c r="U63" s="227"/>
      <c r="W63" s="204"/>
      <c r="X63" s="504"/>
    </row>
    <row r="64" spans="2:24" ht="18" customHeight="1">
      <c r="B64" s="254"/>
      <c r="C64" s="279" t="s">
        <v>4</v>
      </c>
      <c r="E64" s="280"/>
      <c r="F64" s="281"/>
      <c r="G64" s="280"/>
      <c r="H64" s="281"/>
      <c r="I64" s="280"/>
      <c r="J64" s="281"/>
      <c r="K64" s="268"/>
      <c r="M64" s="279" t="s">
        <v>4</v>
      </c>
      <c r="O64" s="280"/>
      <c r="P64" s="281"/>
      <c r="Q64" s="280"/>
      <c r="R64" s="281"/>
      <c r="S64" s="280"/>
      <c r="T64" s="281"/>
      <c r="U64" s="227"/>
      <c r="W64" s="204"/>
      <c r="X64" s="504"/>
    </row>
    <row r="65" spans="2:24" ht="18" customHeight="1">
      <c r="B65" s="254"/>
      <c r="C65" s="279" t="s">
        <v>5</v>
      </c>
      <c r="E65" s="280"/>
      <c r="F65" s="281"/>
      <c r="G65" s="280"/>
      <c r="H65" s="281"/>
      <c r="I65" s="280"/>
      <c r="J65" s="281"/>
      <c r="K65" s="268"/>
      <c r="M65" s="279" t="s">
        <v>5</v>
      </c>
      <c r="O65" s="280"/>
      <c r="P65" s="281"/>
      <c r="Q65" s="280"/>
      <c r="R65" s="281"/>
      <c r="S65" s="280"/>
      <c r="T65" s="281"/>
      <c r="U65" s="227"/>
      <c r="W65" s="204"/>
      <c r="X65" s="504"/>
    </row>
    <row r="66" spans="2:24" ht="18" customHeight="1">
      <c r="B66" s="254"/>
      <c r="C66" s="279" t="s">
        <v>296</v>
      </c>
      <c r="E66" s="280"/>
      <c r="F66" s="281"/>
      <c r="G66" s="280"/>
      <c r="H66" s="281"/>
      <c r="I66" s="280"/>
      <c r="J66" s="281"/>
      <c r="K66" s="268"/>
      <c r="M66" s="279" t="s">
        <v>296</v>
      </c>
      <c r="O66" s="280"/>
      <c r="P66" s="281"/>
      <c r="Q66" s="280"/>
      <c r="R66" s="281"/>
      <c r="S66" s="280"/>
      <c r="T66" s="281"/>
      <c r="U66" s="227"/>
      <c r="W66" s="204"/>
      <c r="X66" s="504"/>
    </row>
    <row r="67" spans="2:24" ht="18" customHeight="1">
      <c r="B67" s="254"/>
      <c r="C67" s="282" t="s">
        <v>6</v>
      </c>
      <c r="D67" s="276"/>
      <c r="E67" s="280"/>
      <c r="F67" s="281"/>
      <c r="G67" s="280"/>
      <c r="H67" s="281"/>
      <c r="I67" s="280"/>
      <c r="J67" s="281"/>
      <c r="K67" s="268"/>
      <c r="M67" s="282" t="s">
        <v>6</v>
      </c>
      <c r="N67" s="276"/>
      <c r="O67" s="280"/>
      <c r="P67" s="281"/>
      <c r="Q67" s="280"/>
      <c r="R67" s="281"/>
      <c r="S67" s="280"/>
      <c r="T67" s="281"/>
      <c r="U67" s="227"/>
      <c r="W67" s="204"/>
      <c r="X67" s="504"/>
    </row>
    <row r="68" spans="2:24" ht="4" customHeight="1">
      <c r="B68" s="254"/>
      <c r="K68" s="268"/>
      <c r="U68" s="227"/>
      <c r="W68" s="204"/>
      <c r="X68" s="504"/>
    </row>
    <row r="69" spans="2:24" ht="18" customHeight="1">
      <c r="B69" s="254"/>
      <c r="C69" s="283" t="s">
        <v>207</v>
      </c>
      <c r="E69" s="280"/>
      <c r="F69" s="281"/>
      <c r="G69" s="284" t="s">
        <v>895</v>
      </c>
      <c r="K69" s="268"/>
      <c r="M69" s="283" t="s">
        <v>207</v>
      </c>
      <c r="O69" s="280"/>
      <c r="P69" s="281"/>
      <c r="Q69" s="284" t="s">
        <v>895</v>
      </c>
      <c r="U69" s="227"/>
      <c r="W69" s="204"/>
      <c r="X69" s="504"/>
    </row>
    <row r="70" spans="2:24" ht="4" customHeight="1">
      <c r="B70" s="254"/>
      <c r="C70" s="279"/>
      <c r="E70" s="285"/>
      <c r="F70" s="285"/>
      <c r="G70" s="286"/>
      <c r="K70" s="268"/>
      <c r="M70" s="279"/>
      <c r="O70" s="285"/>
      <c r="P70" s="285"/>
      <c r="Q70" s="286"/>
      <c r="U70" s="227"/>
      <c r="W70" s="204"/>
      <c r="X70" s="504"/>
    </row>
    <row r="71" spans="2:24" ht="18" customHeight="1">
      <c r="B71" s="254"/>
      <c r="C71" s="279" t="s">
        <v>0</v>
      </c>
      <c r="E71" s="287" t="s">
        <v>45</v>
      </c>
      <c r="F71" s="288"/>
      <c r="G71" s="284" t="s">
        <v>894</v>
      </c>
      <c r="H71" s="289"/>
      <c r="K71" s="268"/>
      <c r="M71" s="279" t="s">
        <v>0</v>
      </c>
      <c r="O71" s="287" t="s">
        <v>45</v>
      </c>
      <c r="P71" s="288"/>
      <c r="Q71" s="284" t="s">
        <v>894</v>
      </c>
      <c r="R71" s="289"/>
      <c r="U71" s="227"/>
      <c r="W71" s="204"/>
      <c r="X71" s="504"/>
    </row>
    <row r="72" spans="2:24" ht="4" customHeight="1">
      <c r="B72" s="254"/>
      <c r="C72" s="279"/>
      <c r="E72" s="287"/>
      <c r="F72" s="694"/>
      <c r="G72" s="284"/>
      <c r="H72" s="289"/>
      <c r="K72" s="268"/>
      <c r="M72" s="279"/>
      <c r="O72" s="287"/>
      <c r="P72" s="694"/>
      <c r="Q72" s="284"/>
      <c r="R72" s="289"/>
      <c r="U72" s="227"/>
      <c r="W72" s="204"/>
      <c r="X72" s="504"/>
    </row>
    <row r="73" spans="2:24" ht="18" customHeight="1">
      <c r="B73" s="254"/>
      <c r="C73" s="279" t="s">
        <v>871</v>
      </c>
      <c r="E73" s="287"/>
      <c r="F73" s="288"/>
      <c r="G73" s="284" t="s">
        <v>896</v>
      </c>
      <c r="H73" s="289"/>
      <c r="K73" s="268"/>
      <c r="M73" s="279" t="s">
        <v>871</v>
      </c>
      <c r="O73" s="287"/>
      <c r="P73" s="288"/>
      <c r="Q73" s="284" t="s">
        <v>896</v>
      </c>
      <c r="R73" s="289"/>
      <c r="U73" s="227"/>
      <c r="W73" s="204"/>
      <c r="X73" s="504"/>
    </row>
    <row r="74" spans="2:24" ht="14" customHeight="1">
      <c r="B74" s="236"/>
      <c r="C74" s="237"/>
      <c r="D74" s="237"/>
      <c r="E74" s="237"/>
      <c r="F74" s="237"/>
      <c r="G74" s="237"/>
      <c r="H74" s="237"/>
      <c r="I74" s="237"/>
      <c r="J74" s="237"/>
      <c r="K74" s="270"/>
      <c r="L74" s="237"/>
      <c r="M74" s="237"/>
      <c r="N74" s="237"/>
      <c r="O74" s="237"/>
      <c r="P74" s="237"/>
      <c r="Q74" s="237"/>
      <c r="R74" s="237"/>
      <c r="S74" s="237"/>
      <c r="T74" s="237"/>
      <c r="U74" s="239"/>
      <c r="W74" s="204"/>
      <c r="X74" s="504"/>
    </row>
    <row r="75" spans="2:24" ht="24" customHeight="1">
      <c r="B75" s="290"/>
      <c r="C75" s="272" t="s">
        <v>144</v>
      </c>
      <c r="D75" s="272"/>
      <c r="E75" s="272"/>
      <c r="F75" s="272"/>
      <c r="G75" s="272"/>
      <c r="H75" s="272"/>
      <c r="I75" s="272"/>
      <c r="J75" s="272"/>
      <c r="K75" s="273"/>
      <c r="L75" s="272"/>
      <c r="M75" s="272" t="s">
        <v>144</v>
      </c>
      <c r="N75" s="272"/>
      <c r="O75" s="272"/>
      <c r="P75" s="272"/>
      <c r="Q75" s="272"/>
      <c r="R75" s="272"/>
      <c r="S75" s="272"/>
      <c r="T75" s="272"/>
      <c r="U75" s="235"/>
      <c r="W75" s="204"/>
      <c r="X75" s="504"/>
    </row>
    <row r="76" spans="2:24" ht="14" customHeight="1">
      <c r="B76" s="254"/>
      <c r="E76" s="1138" t="str">
        <f>TBS_F13</f>
        <v/>
      </c>
      <c r="F76" s="1138"/>
      <c r="G76" s="1138"/>
      <c r="H76" s="1138"/>
      <c r="I76" s="1138"/>
      <c r="J76" s="1138"/>
      <c r="K76" s="268"/>
      <c r="O76" s="1138" t="str">
        <f>TBS_F23</f>
        <v/>
      </c>
      <c r="P76" s="1138"/>
      <c r="Q76" s="1138"/>
      <c r="R76" s="1138"/>
      <c r="S76" s="1138"/>
      <c r="T76" s="1138"/>
      <c r="U76" s="227"/>
      <c r="W76" s="204"/>
      <c r="X76" s="504"/>
    </row>
    <row r="77" spans="2:24" ht="14" customHeight="1">
      <c r="B77" s="254"/>
      <c r="D77" s="274" t="s">
        <v>240</v>
      </c>
      <c r="E77" s="1134" t="s">
        <v>3</v>
      </c>
      <c r="F77" s="1135"/>
      <c r="G77" s="1134" t="s">
        <v>7</v>
      </c>
      <c r="H77" s="1135"/>
      <c r="I77" s="1136" t="s">
        <v>741</v>
      </c>
      <c r="J77" s="1137"/>
      <c r="K77" s="268"/>
      <c r="N77" s="274" t="s">
        <v>240</v>
      </c>
      <c r="O77" s="1134" t="s">
        <v>3</v>
      </c>
      <c r="P77" s="1135"/>
      <c r="Q77" s="1134" t="s">
        <v>7</v>
      </c>
      <c r="R77" s="1135"/>
      <c r="S77" s="1136" t="s">
        <v>741</v>
      </c>
      <c r="T77" s="1137"/>
      <c r="U77" s="227"/>
      <c r="W77" s="204"/>
      <c r="X77" s="504"/>
    </row>
    <row r="78" spans="2:24" ht="24" customHeight="1">
      <c r="B78" s="254"/>
      <c r="C78" s="275" t="s">
        <v>239</v>
      </c>
      <c r="D78" s="276"/>
      <c r="E78" s="277" t="s">
        <v>20</v>
      </c>
      <c r="F78" s="278" t="s">
        <v>99</v>
      </c>
      <c r="G78" s="277" t="s">
        <v>20</v>
      </c>
      <c r="H78" s="278" t="s">
        <v>99</v>
      </c>
      <c r="I78" s="277" t="s">
        <v>20</v>
      </c>
      <c r="J78" s="278" t="s">
        <v>99</v>
      </c>
      <c r="K78" s="268"/>
      <c r="M78" s="275" t="s">
        <v>239</v>
      </c>
      <c r="N78" s="276"/>
      <c r="O78" s="277" t="s">
        <v>20</v>
      </c>
      <c r="P78" s="278" t="s">
        <v>99</v>
      </c>
      <c r="Q78" s="277" t="s">
        <v>20</v>
      </c>
      <c r="R78" s="278" t="s">
        <v>99</v>
      </c>
      <c r="S78" s="277" t="s">
        <v>20</v>
      </c>
      <c r="T78" s="278" t="s">
        <v>99</v>
      </c>
      <c r="U78" s="227"/>
      <c r="W78" s="204"/>
      <c r="X78" s="504"/>
    </row>
    <row r="79" spans="2:24" ht="18" customHeight="1">
      <c r="B79" s="254"/>
      <c r="C79" s="279" t="s">
        <v>4</v>
      </c>
      <c r="E79" s="280"/>
      <c r="F79" s="281"/>
      <c r="G79" s="280"/>
      <c r="H79" s="281"/>
      <c r="I79" s="280"/>
      <c r="J79" s="281"/>
      <c r="K79" s="268"/>
      <c r="M79" s="279" t="s">
        <v>4</v>
      </c>
      <c r="O79" s="280"/>
      <c r="P79" s="281"/>
      <c r="Q79" s="280"/>
      <c r="R79" s="281"/>
      <c r="S79" s="280"/>
      <c r="T79" s="281"/>
      <c r="U79" s="227"/>
      <c r="W79" s="204"/>
      <c r="X79" s="504"/>
    </row>
    <row r="80" spans="2:24" ht="18" customHeight="1">
      <c r="B80" s="254"/>
      <c r="C80" s="279" t="s">
        <v>5</v>
      </c>
      <c r="E80" s="280"/>
      <c r="F80" s="281"/>
      <c r="G80" s="280"/>
      <c r="H80" s="281"/>
      <c r="I80" s="280"/>
      <c r="J80" s="281"/>
      <c r="K80" s="268"/>
      <c r="M80" s="279" t="s">
        <v>5</v>
      </c>
      <c r="O80" s="280"/>
      <c r="P80" s="281"/>
      <c r="Q80" s="280"/>
      <c r="R80" s="281"/>
      <c r="S80" s="280"/>
      <c r="T80" s="281"/>
      <c r="U80" s="227"/>
      <c r="W80" s="204"/>
      <c r="X80" s="504"/>
    </row>
    <row r="81" spans="2:24" ht="18" customHeight="1">
      <c r="B81" s="254"/>
      <c r="C81" s="279" t="s">
        <v>296</v>
      </c>
      <c r="E81" s="280"/>
      <c r="F81" s="281"/>
      <c r="G81" s="280"/>
      <c r="H81" s="281"/>
      <c r="I81" s="280"/>
      <c r="J81" s="281"/>
      <c r="K81" s="268"/>
      <c r="M81" s="279" t="s">
        <v>296</v>
      </c>
      <c r="O81" s="280"/>
      <c r="P81" s="281"/>
      <c r="Q81" s="280"/>
      <c r="R81" s="281"/>
      <c r="S81" s="280"/>
      <c r="T81" s="281"/>
      <c r="U81" s="227"/>
      <c r="W81" s="204"/>
      <c r="X81" s="504"/>
    </row>
    <row r="82" spans="2:24" ht="18" customHeight="1">
      <c r="B82" s="254"/>
      <c r="C82" s="282" t="s">
        <v>6</v>
      </c>
      <c r="D82" s="276"/>
      <c r="E82" s="280"/>
      <c r="F82" s="281"/>
      <c r="G82" s="280"/>
      <c r="H82" s="281"/>
      <c r="I82" s="280"/>
      <c r="J82" s="281"/>
      <c r="K82" s="268"/>
      <c r="M82" s="282" t="s">
        <v>6</v>
      </c>
      <c r="N82" s="276"/>
      <c r="O82" s="280"/>
      <c r="P82" s="281"/>
      <c r="Q82" s="280"/>
      <c r="R82" s="281"/>
      <c r="S82" s="280"/>
      <c r="T82" s="281"/>
      <c r="U82" s="227"/>
      <c r="W82" s="204"/>
      <c r="X82" s="504"/>
    </row>
    <row r="83" spans="2:24" ht="4" customHeight="1">
      <c r="B83" s="254"/>
      <c r="K83" s="268"/>
      <c r="U83" s="227"/>
      <c r="W83" s="204"/>
      <c r="X83" s="504"/>
    </row>
    <row r="84" spans="2:24" ht="18" customHeight="1">
      <c r="B84" s="254"/>
      <c r="C84" s="283" t="s">
        <v>207</v>
      </c>
      <c r="E84" s="280"/>
      <c r="F84" s="281"/>
      <c r="G84" s="284" t="s">
        <v>895</v>
      </c>
      <c r="K84" s="268"/>
      <c r="M84" s="283" t="s">
        <v>207</v>
      </c>
      <c r="O84" s="280"/>
      <c r="P84" s="281"/>
      <c r="Q84" s="284" t="s">
        <v>895</v>
      </c>
      <c r="U84" s="227"/>
      <c r="W84" s="204"/>
      <c r="X84" s="504"/>
    </row>
    <row r="85" spans="2:24" ht="4" customHeight="1">
      <c r="B85" s="254"/>
      <c r="C85" s="279"/>
      <c r="E85" s="285"/>
      <c r="F85" s="285"/>
      <c r="G85" s="286"/>
      <c r="K85" s="268"/>
      <c r="M85" s="279"/>
      <c r="O85" s="285"/>
      <c r="P85" s="285"/>
      <c r="Q85" s="286"/>
      <c r="U85" s="227"/>
      <c r="W85" s="204"/>
      <c r="X85" s="504"/>
    </row>
    <row r="86" spans="2:24" ht="18" customHeight="1">
      <c r="B86" s="254"/>
      <c r="C86" s="279" t="s">
        <v>0</v>
      </c>
      <c r="E86" s="287" t="s">
        <v>45</v>
      </c>
      <c r="F86" s="288"/>
      <c r="G86" s="284" t="s">
        <v>894</v>
      </c>
      <c r="H86" s="289"/>
      <c r="K86" s="268"/>
      <c r="M86" s="279" t="s">
        <v>0</v>
      </c>
      <c r="O86" s="287" t="s">
        <v>45</v>
      </c>
      <c r="P86" s="288"/>
      <c r="Q86" s="284" t="s">
        <v>894</v>
      </c>
      <c r="R86" s="289"/>
      <c r="U86" s="227"/>
      <c r="W86" s="204"/>
      <c r="X86" s="504"/>
    </row>
    <row r="87" spans="2:24" ht="4" customHeight="1">
      <c r="B87" s="254"/>
      <c r="C87" s="279"/>
      <c r="E87" s="287"/>
      <c r="F87" s="694"/>
      <c r="G87" s="284"/>
      <c r="H87" s="289"/>
      <c r="K87" s="268"/>
      <c r="M87" s="279"/>
      <c r="O87" s="287"/>
      <c r="P87" s="694"/>
      <c r="Q87" s="284"/>
      <c r="R87" s="289"/>
      <c r="U87" s="227"/>
      <c r="W87" s="204"/>
      <c r="X87" s="504"/>
    </row>
    <row r="88" spans="2:24" ht="18" customHeight="1">
      <c r="B88" s="254"/>
      <c r="C88" s="279" t="s">
        <v>871</v>
      </c>
      <c r="E88" s="287"/>
      <c r="F88" s="288"/>
      <c r="G88" s="284" t="s">
        <v>896</v>
      </c>
      <c r="H88" s="289"/>
      <c r="K88" s="268"/>
      <c r="M88" s="279" t="s">
        <v>871</v>
      </c>
      <c r="O88" s="287"/>
      <c r="P88" s="288"/>
      <c r="Q88" s="284" t="s">
        <v>896</v>
      </c>
      <c r="R88" s="289"/>
      <c r="U88" s="227"/>
      <c r="W88" s="204"/>
      <c r="X88" s="504"/>
    </row>
    <row r="89" spans="2:24" ht="14" customHeight="1">
      <c r="B89" s="236"/>
      <c r="C89" s="237"/>
      <c r="D89" s="237"/>
      <c r="E89" s="237"/>
      <c r="F89" s="237"/>
      <c r="G89" s="237"/>
      <c r="H89" s="237"/>
      <c r="I89" s="237"/>
      <c r="J89" s="237"/>
      <c r="K89" s="270"/>
      <c r="L89" s="237"/>
      <c r="M89" s="237"/>
      <c r="N89" s="237"/>
      <c r="O89" s="237"/>
      <c r="P89" s="237"/>
      <c r="Q89" s="237"/>
      <c r="R89" s="237"/>
      <c r="S89" s="237"/>
      <c r="T89" s="237"/>
      <c r="U89" s="239"/>
      <c r="W89" s="204"/>
      <c r="X89" s="504"/>
    </row>
    <row r="90" spans="2:24" ht="24" customHeight="1">
      <c r="B90" s="290"/>
      <c r="C90" s="272" t="s">
        <v>145</v>
      </c>
      <c r="D90" s="272"/>
      <c r="E90" s="272"/>
      <c r="F90" s="272"/>
      <c r="G90" s="272"/>
      <c r="H90" s="272"/>
      <c r="I90" s="272"/>
      <c r="J90" s="272"/>
      <c r="K90" s="273"/>
      <c r="L90" s="272"/>
      <c r="M90" s="272" t="s">
        <v>145</v>
      </c>
      <c r="N90" s="272"/>
      <c r="O90" s="272"/>
      <c r="P90" s="272"/>
      <c r="Q90" s="272"/>
      <c r="R90" s="272"/>
      <c r="S90" s="272"/>
      <c r="T90" s="272"/>
      <c r="U90" s="235"/>
      <c r="W90" s="204"/>
      <c r="X90" s="504"/>
    </row>
    <row r="91" spans="2:24" ht="14" customHeight="1">
      <c r="B91" s="254"/>
      <c r="E91" s="1138" t="str">
        <f>TBS_F14</f>
        <v/>
      </c>
      <c r="F91" s="1138"/>
      <c r="G91" s="1138"/>
      <c r="H91" s="1138"/>
      <c r="I91" s="1138"/>
      <c r="J91" s="1138"/>
      <c r="K91" s="268"/>
      <c r="O91" s="1138" t="str">
        <f>TBS_F24</f>
        <v/>
      </c>
      <c r="P91" s="1138"/>
      <c r="Q91" s="1138"/>
      <c r="R91" s="1138"/>
      <c r="S91" s="1138"/>
      <c r="T91" s="1138"/>
      <c r="U91" s="227"/>
      <c r="W91" s="204"/>
      <c r="X91" s="504"/>
    </row>
    <row r="92" spans="2:24" ht="14" customHeight="1">
      <c r="B92" s="254"/>
      <c r="D92" s="274" t="s">
        <v>240</v>
      </c>
      <c r="E92" s="1134" t="s">
        <v>3</v>
      </c>
      <c r="F92" s="1135"/>
      <c r="G92" s="1134" t="s">
        <v>7</v>
      </c>
      <c r="H92" s="1135"/>
      <c r="I92" s="1136" t="s">
        <v>741</v>
      </c>
      <c r="J92" s="1137"/>
      <c r="K92" s="268"/>
      <c r="N92" s="274" t="s">
        <v>240</v>
      </c>
      <c r="O92" s="1134" t="s">
        <v>3</v>
      </c>
      <c r="P92" s="1135"/>
      <c r="Q92" s="1134" t="s">
        <v>7</v>
      </c>
      <c r="R92" s="1135"/>
      <c r="S92" s="1136" t="s">
        <v>741</v>
      </c>
      <c r="T92" s="1137"/>
      <c r="U92" s="227"/>
      <c r="W92" s="204"/>
      <c r="X92" s="504"/>
    </row>
    <row r="93" spans="2:24" ht="24" customHeight="1">
      <c r="B93" s="254"/>
      <c r="C93" s="275" t="s">
        <v>239</v>
      </c>
      <c r="D93" s="276"/>
      <c r="E93" s="277" t="s">
        <v>20</v>
      </c>
      <c r="F93" s="278" t="s">
        <v>99</v>
      </c>
      <c r="G93" s="277" t="s">
        <v>20</v>
      </c>
      <c r="H93" s="278" t="s">
        <v>99</v>
      </c>
      <c r="I93" s="277" t="s">
        <v>20</v>
      </c>
      <c r="J93" s="278" t="s">
        <v>99</v>
      </c>
      <c r="K93" s="268"/>
      <c r="M93" s="275" t="s">
        <v>239</v>
      </c>
      <c r="N93" s="276"/>
      <c r="O93" s="277" t="s">
        <v>20</v>
      </c>
      <c r="P93" s="278" t="s">
        <v>99</v>
      </c>
      <c r="Q93" s="277" t="s">
        <v>20</v>
      </c>
      <c r="R93" s="278" t="s">
        <v>99</v>
      </c>
      <c r="S93" s="277" t="s">
        <v>20</v>
      </c>
      <c r="T93" s="278" t="s">
        <v>99</v>
      </c>
      <c r="U93" s="227"/>
      <c r="W93" s="204"/>
      <c r="X93" s="504"/>
    </row>
    <row r="94" spans="2:24" ht="18" customHeight="1">
      <c r="B94" s="254"/>
      <c r="C94" s="279" t="s">
        <v>4</v>
      </c>
      <c r="E94" s="280"/>
      <c r="F94" s="281"/>
      <c r="G94" s="280"/>
      <c r="H94" s="281"/>
      <c r="I94" s="280"/>
      <c r="J94" s="281"/>
      <c r="K94" s="268"/>
      <c r="M94" s="279" t="s">
        <v>4</v>
      </c>
      <c r="O94" s="280"/>
      <c r="P94" s="281"/>
      <c r="Q94" s="280"/>
      <c r="R94" s="281"/>
      <c r="S94" s="280"/>
      <c r="T94" s="281"/>
      <c r="U94" s="227"/>
      <c r="W94" s="204"/>
      <c r="X94" s="504"/>
    </row>
    <row r="95" spans="2:24" ht="18" customHeight="1">
      <c r="B95" s="254"/>
      <c r="C95" s="279" t="s">
        <v>5</v>
      </c>
      <c r="E95" s="280"/>
      <c r="F95" s="281"/>
      <c r="G95" s="280"/>
      <c r="H95" s="281"/>
      <c r="I95" s="280"/>
      <c r="J95" s="281"/>
      <c r="K95" s="268"/>
      <c r="M95" s="279" t="s">
        <v>5</v>
      </c>
      <c r="O95" s="280"/>
      <c r="P95" s="281"/>
      <c r="Q95" s="280"/>
      <c r="R95" s="281"/>
      <c r="S95" s="280"/>
      <c r="T95" s="281"/>
      <c r="U95" s="227"/>
      <c r="W95" s="204"/>
      <c r="X95" s="504"/>
    </row>
    <row r="96" spans="2:24" ht="18" customHeight="1">
      <c r="B96" s="254"/>
      <c r="C96" s="279" t="s">
        <v>296</v>
      </c>
      <c r="E96" s="280"/>
      <c r="F96" s="281"/>
      <c r="G96" s="280"/>
      <c r="H96" s="281"/>
      <c r="I96" s="280"/>
      <c r="J96" s="281"/>
      <c r="K96" s="268"/>
      <c r="M96" s="279" t="s">
        <v>296</v>
      </c>
      <c r="O96" s="280"/>
      <c r="P96" s="281"/>
      <c r="Q96" s="280"/>
      <c r="R96" s="281"/>
      <c r="S96" s="280"/>
      <c r="T96" s="281"/>
      <c r="U96" s="227"/>
      <c r="W96" s="204"/>
      <c r="X96" s="504"/>
    </row>
    <row r="97" spans="1:24" ht="18" customHeight="1">
      <c r="B97" s="254"/>
      <c r="C97" s="282" t="s">
        <v>6</v>
      </c>
      <c r="D97" s="276"/>
      <c r="E97" s="280"/>
      <c r="F97" s="281"/>
      <c r="G97" s="280"/>
      <c r="H97" s="281"/>
      <c r="I97" s="280"/>
      <c r="J97" s="281"/>
      <c r="K97" s="268"/>
      <c r="M97" s="282" t="s">
        <v>6</v>
      </c>
      <c r="N97" s="276"/>
      <c r="O97" s="280"/>
      <c r="P97" s="281"/>
      <c r="Q97" s="280"/>
      <c r="R97" s="281"/>
      <c r="S97" s="280"/>
      <c r="T97" s="281"/>
      <c r="U97" s="227"/>
      <c r="W97" s="204"/>
      <c r="X97" s="504"/>
    </row>
    <row r="98" spans="1:24" ht="4" customHeight="1">
      <c r="B98" s="254"/>
      <c r="K98" s="268"/>
      <c r="U98" s="227"/>
      <c r="W98" s="204"/>
      <c r="X98" s="504"/>
    </row>
    <row r="99" spans="1:24" ht="18" customHeight="1">
      <c r="B99" s="254"/>
      <c r="C99" s="283" t="s">
        <v>207</v>
      </c>
      <c r="E99" s="280"/>
      <c r="F99" s="281"/>
      <c r="G99" s="284" t="s">
        <v>895</v>
      </c>
      <c r="K99" s="268"/>
      <c r="M99" s="283" t="s">
        <v>207</v>
      </c>
      <c r="O99" s="280"/>
      <c r="P99" s="281"/>
      <c r="Q99" s="284" t="s">
        <v>895</v>
      </c>
      <c r="U99" s="227"/>
      <c r="W99" s="204"/>
      <c r="X99" s="504"/>
    </row>
    <row r="100" spans="1:24" ht="4" customHeight="1">
      <c r="B100" s="254"/>
      <c r="C100" s="279"/>
      <c r="E100" s="285"/>
      <c r="F100" s="285"/>
      <c r="G100" s="286"/>
      <c r="K100" s="268"/>
      <c r="M100" s="279"/>
      <c r="O100" s="285"/>
      <c r="P100" s="285"/>
      <c r="Q100" s="286"/>
      <c r="U100" s="227"/>
      <c r="W100" s="204"/>
      <c r="X100" s="504"/>
    </row>
    <row r="101" spans="1:24" ht="18" customHeight="1">
      <c r="B101" s="254"/>
      <c r="C101" s="279" t="s">
        <v>0</v>
      </c>
      <c r="E101" s="287" t="s">
        <v>45</v>
      </c>
      <c r="F101" s="288"/>
      <c r="G101" s="284" t="s">
        <v>894</v>
      </c>
      <c r="H101" s="289"/>
      <c r="K101" s="268"/>
      <c r="M101" s="279" t="s">
        <v>0</v>
      </c>
      <c r="O101" s="287" t="s">
        <v>45</v>
      </c>
      <c r="P101" s="288"/>
      <c r="Q101" s="284" t="s">
        <v>894</v>
      </c>
      <c r="R101" s="289"/>
      <c r="U101" s="227"/>
      <c r="W101" s="204"/>
      <c r="X101" s="504"/>
    </row>
    <row r="102" spans="1:24" ht="4" customHeight="1">
      <c r="B102" s="254"/>
      <c r="C102" s="279"/>
      <c r="E102" s="287"/>
      <c r="F102" s="694"/>
      <c r="G102" s="284"/>
      <c r="H102" s="289"/>
      <c r="K102" s="268"/>
      <c r="M102" s="279"/>
      <c r="O102" s="287"/>
      <c r="P102" s="694"/>
      <c r="Q102" s="284"/>
      <c r="R102" s="289"/>
      <c r="U102" s="227"/>
      <c r="W102" s="204"/>
      <c r="X102" s="504"/>
    </row>
    <row r="103" spans="1:24" ht="18" customHeight="1">
      <c r="B103" s="254"/>
      <c r="C103" s="279" t="s">
        <v>871</v>
      </c>
      <c r="E103" s="287"/>
      <c r="F103" s="288"/>
      <c r="G103" s="284" t="s">
        <v>896</v>
      </c>
      <c r="H103" s="289"/>
      <c r="K103" s="268"/>
      <c r="M103" s="279" t="s">
        <v>871</v>
      </c>
      <c r="O103" s="287"/>
      <c r="P103" s="288"/>
      <c r="Q103" s="284" t="s">
        <v>896</v>
      </c>
      <c r="R103" s="289"/>
      <c r="U103" s="227"/>
      <c r="W103" s="204"/>
      <c r="X103" s="504"/>
    </row>
    <row r="104" spans="1:24" ht="14" customHeight="1" thickBot="1">
      <c r="B104" s="255"/>
      <c r="C104" s="240"/>
      <c r="D104" s="240"/>
      <c r="E104" s="240"/>
      <c r="F104" s="240"/>
      <c r="G104" s="240"/>
      <c r="H104" s="240"/>
      <c r="I104" s="240"/>
      <c r="J104" s="240"/>
      <c r="K104" s="291"/>
      <c r="L104" s="240"/>
      <c r="M104" s="240"/>
      <c r="N104" s="240"/>
      <c r="O104" s="240"/>
      <c r="P104" s="240"/>
      <c r="Q104" s="240"/>
      <c r="R104" s="240"/>
      <c r="S104" s="240"/>
      <c r="T104" s="240"/>
      <c r="U104" s="241"/>
      <c r="W104" s="204"/>
      <c r="X104" s="504"/>
    </row>
    <row r="105" spans="1:24" ht="18" customHeight="1" thickBot="1">
      <c r="W105" s="204"/>
      <c r="X105" s="504"/>
    </row>
    <row r="106" spans="1:24" ht="32" customHeight="1">
      <c r="A106" s="227"/>
      <c r="B106" s="256"/>
      <c r="C106" s="257" t="s">
        <v>64</v>
      </c>
      <c r="D106" s="257"/>
      <c r="E106" s="258"/>
      <c r="F106" s="258"/>
      <c r="G106" s="258"/>
      <c r="H106" s="258"/>
      <c r="I106" s="258"/>
      <c r="J106" s="258"/>
      <c r="K106" s="258"/>
      <c r="L106" s="258"/>
      <c r="M106" s="258"/>
      <c r="N106" s="258"/>
      <c r="O106" s="258"/>
      <c r="P106" s="258"/>
      <c r="Q106" s="258"/>
      <c r="R106" s="258"/>
      <c r="S106" s="258"/>
      <c r="T106" s="258"/>
      <c r="U106" s="259"/>
      <c r="W106" s="204"/>
      <c r="X106" s="504"/>
    </row>
    <row r="107" spans="1:24" ht="14" customHeight="1">
      <c r="A107" s="227"/>
      <c r="B107" s="245"/>
      <c r="C107" s="202"/>
      <c r="D107" s="202"/>
      <c r="E107" s="202"/>
      <c r="F107" s="202"/>
      <c r="G107" s="202"/>
      <c r="H107" s="202"/>
      <c r="I107" s="202"/>
      <c r="J107" s="202"/>
      <c r="K107" s="202"/>
      <c r="L107" s="202"/>
      <c r="M107" s="202"/>
      <c r="N107" s="202"/>
      <c r="O107" s="202"/>
      <c r="P107" s="202"/>
      <c r="Q107" s="202"/>
      <c r="R107" s="202"/>
      <c r="S107" s="202"/>
      <c r="T107" s="202"/>
      <c r="U107" s="246"/>
      <c r="W107" s="204"/>
      <c r="X107" s="504"/>
    </row>
    <row r="108" spans="1:24" ht="18" customHeight="1">
      <c r="A108" s="227"/>
      <c r="B108" s="245"/>
      <c r="C108" s="518" t="s">
        <v>1044</v>
      </c>
      <c r="D108" s="202"/>
      <c r="E108" s="202"/>
      <c r="F108" s="202"/>
      <c r="G108" s="202"/>
      <c r="H108" s="202"/>
      <c r="I108" s="202"/>
      <c r="J108" s="202"/>
      <c r="K108" s="202"/>
      <c r="L108" s="202"/>
      <c r="M108" s="202"/>
      <c r="N108" s="202"/>
      <c r="O108" s="202"/>
      <c r="P108" s="202"/>
      <c r="Q108" s="202"/>
      <c r="R108" s="202"/>
      <c r="S108" s="202"/>
      <c r="T108" s="202"/>
      <c r="U108" s="246"/>
      <c r="W108" s="204"/>
      <c r="X108" s="504"/>
    </row>
    <row r="109" spans="1:24" ht="18" customHeight="1">
      <c r="A109" s="227"/>
      <c r="B109" s="245"/>
      <c r="C109" s="202" t="s">
        <v>670</v>
      </c>
      <c r="D109" s="202"/>
      <c r="E109" s="202"/>
      <c r="F109" s="202"/>
      <c r="G109" s="202"/>
      <c r="H109" s="202"/>
      <c r="I109" s="202"/>
      <c r="J109" s="202"/>
      <c r="K109" s="202"/>
      <c r="L109" s="202"/>
      <c r="M109" s="202"/>
      <c r="N109" s="202"/>
      <c r="O109" s="202"/>
      <c r="P109" s="202"/>
      <c r="Q109" s="202"/>
      <c r="R109" s="202"/>
      <c r="S109" s="202"/>
      <c r="T109" s="202"/>
      <c r="U109" s="246"/>
      <c r="W109" s="204"/>
      <c r="X109" s="504"/>
    </row>
    <row r="110" spans="1:24" ht="6" customHeight="1">
      <c r="A110" s="227"/>
      <c r="B110" s="245"/>
      <c r="C110" s="202"/>
      <c r="D110" s="202"/>
      <c r="E110" s="202"/>
      <c r="F110" s="202"/>
      <c r="G110" s="202"/>
      <c r="H110" s="202"/>
      <c r="I110" s="202"/>
      <c r="J110" s="202"/>
      <c r="K110" s="202"/>
      <c r="L110" s="202"/>
      <c r="M110" s="202"/>
      <c r="N110" s="202"/>
      <c r="O110" s="202"/>
      <c r="P110" s="202"/>
      <c r="Q110" s="202"/>
      <c r="R110" s="202"/>
      <c r="S110" s="202"/>
      <c r="T110" s="202"/>
      <c r="U110" s="246"/>
      <c r="W110" s="204"/>
      <c r="X110" s="504"/>
    </row>
    <row r="111" spans="1:24" ht="18" customHeight="1">
      <c r="A111" s="227"/>
      <c r="B111" s="245"/>
      <c r="C111" s="518" t="s">
        <v>671</v>
      </c>
      <c r="D111" s="518"/>
      <c r="E111" s="518"/>
      <c r="F111" s="518"/>
      <c r="G111" s="518"/>
      <c r="H111" s="518"/>
      <c r="I111" s="518"/>
      <c r="J111" s="518"/>
      <c r="K111" s="518"/>
      <c r="L111" s="518"/>
      <c r="M111" s="518"/>
      <c r="N111" s="518"/>
      <c r="O111" s="518"/>
      <c r="P111" s="518"/>
      <c r="Q111" s="518"/>
      <c r="R111" s="518"/>
      <c r="S111" s="518"/>
      <c r="T111" s="518"/>
      <c r="U111" s="246"/>
      <c r="W111" s="204"/>
      <c r="X111" s="504"/>
    </row>
    <row r="112" spans="1:24" ht="18" customHeight="1">
      <c r="A112" s="227"/>
      <c r="B112" s="245"/>
      <c r="C112" s="518" t="s">
        <v>269</v>
      </c>
      <c r="D112" s="518"/>
      <c r="E112" s="518"/>
      <c r="F112" s="518"/>
      <c r="G112" s="518"/>
      <c r="H112" s="518"/>
      <c r="I112" s="518"/>
      <c r="J112" s="518"/>
      <c r="K112" s="518"/>
      <c r="L112" s="518"/>
      <c r="M112" s="518"/>
      <c r="N112" s="518"/>
      <c r="O112" s="518"/>
      <c r="P112" s="518"/>
      <c r="Q112" s="518"/>
      <c r="R112" s="518"/>
      <c r="S112" s="518"/>
      <c r="T112" s="518"/>
      <c r="U112" s="246"/>
      <c r="W112" s="204"/>
      <c r="X112" s="504"/>
    </row>
    <row r="113" spans="1:24" ht="6" customHeight="1">
      <c r="A113" s="227"/>
      <c r="B113" s="245"/>
      <c r="C113" s="518"/>
      <c r="D113" s="518"/>
      <c r="E113" s="518"/>
      <c r="F113" s="518"/>
      <c r="G113" s="518"/>
      <c r="H113" s="518"/>
      <c r="I113" s="518"/>
      <c r="J113" s="518"/>
      <c r="K113" s="518"/>
      <c r="L113" s="518"/>
      <c r="M113" s="518"/>
      <c r="N113" s="518"/>
      <c r="O113" s="518"/>
      <c r="P113" s="518"/>
      <c r="Q113" s="518"/>
      <c r="R113" s="518"/>
      <c r="S113" s="518"/>
      <c r="T113" s="518"/>
      <c r="U113" s="246"/>
      <c r="W113" s="204"/>
      <c r="X113" s="504"/>
    </row>
    <row r="114" spans="1:24" ht="18" customHeight="1">
      <c r="A114" s="227"/>
      <c r="B114" s="245"/>
      <c r="C114" s="518" t="s">
        <v>279</v>
      </c>
      <c r="D114" s="518"/>
      <c r="E114" s="518"/>
      <c r="F114" s="518"/>
      <c r="G114" s="518"/>
      <c r="H114" s="518"/>
      <c r="I114" s="518"/>
      <c r="J114" s="518"/>
      <c r="K114" s="518"/>
      <c r="L114" s="518"/>
      <c r="M114" s="518"/>
      <c r="N114" s="518"/>
      <c r="O114" s="518"/>
      <c r="P114" s="518"/>
      <c r="Q114" s="518"/>
      <c r="R114" s="518"/>
      <c r="S114" s="518"/>
      <c r="T114" s="518"/>
      <c r="U114" s="246"/>
      <c r="W114" s="204"/>
      <c r="X114" s="504"/>
    </row>
    <row r="115" spans="1:24" ht="18" customHeight="1">
      <c r="A115" s="227"/>
      <c r="B115" s="245"/>
      <c r="C115" s="518" t="s">
        <v>289</v>
      </c>
      <c r="D115" s="518"/>
      <c r="E115" s="518"/>
      <c r="F115" s="518"/>
      <c r="G115" s="518"/>
      <c r="H115" s="518"/>
      <c r="I115" s="518"/>
      <c r="J115" s="518"/>
      <c r="K115" s="518"/>
      <c r="L115" s="518"/>
      <c r="M115" s="518"/>
      <c r="N115" s="518"/>
      <c r="O115" s="518"/>
      <c r="P115" s="518"/>
      <c r="Q115" s="518"/>
      <c r="R115" s="518"/>
      <c r="S115" s="518"/>
      <c r="T115" s="518"/>
      <c r="U115" s="246"/>
      <c r="W115" s="204"/>
      <c r="X115" s="504"/>
    </row>
    <row r="116" spans="1:24" ht="14" customHeight="1">
      <c r="A116" s="227"/>
      <c r="B116" s="292"/>
      <c r="C116" s="293"/>
      <c r="D116" s="293"/>
      <c r="E116" s="293"/>
      <c r="F116" s="293"/>
      <c r="G116" s="293"/>
      <c r="H116" s="293"/>
      <c r="I116" s="293"/>
      <c r="J116" s="293"/>
      <c r="K116" s="294"/>
      <c r="L116" s="294"/>
      <c r="M116" s="293"/>
      <c r="N116" s="293"/>
      <c r="O116" s="293"/>
      <c r="P116" s="293"/>
      <c r="Q116" s="293"/>
      <c r="R116" s="293"/>
      <c r="S116" s="293"/>
      <c r="T116" s="293"/>
      <c r="U116" s="295"/>
      <c r="W116" s="204"/>
      <c r="X116" s="504"/>
    </row>
    <row r="117" spans="1:24" ht="14" customHeight="1">
      <c r="A117" s="227"/>
      <c r="B117" s="254"/>
      <c r="K117" s="268"/>
      <c r="U117" s="227"/>
      <c r="W117" s="204"/>
      <c r="X117" s="504"/>
    </row>
    <row r="118" spans="1:24" ht="24" customHeight="1">
      <c r="A118" s="227"/>
      <c r="B118" s="254"/>
      <c r="C118" s="1133" t="str">
        <f>IF(
VA_BESTANDSEINGABE=0,"",IF(
AND(VA_BESTANDSEINGABE=1,VA_VERKEHRSSTATION=""),"Bahnhofsname nicht eingegeben",IF(
AND(VA_BESTANDSEINGABE=1,VA_VERKEHRSSTATION&lt;&gt;""),VA_VERKEHRSSTATION,IF(
VA_ZUGANG_1="","Bezeichnung der Bahnhofsseite fehlt",
VA_ZUGANG_1))))</f>
        <v/>
      </c>
      <c r="D118" s="1133"/>
      <c r="E118" s="1133"/>
      <c r="F118" s="1133"/>
      <c r="G118" s="1133"/>
      <c r="H118" s="1133"/>
      <c r="I118" s="1133"/>
      <c r="J118" s="1133"/>
      <c r="K118" s="268"/>
      <c r="M118" s="1133" t="str">
        <f>IF(
VA_BESTANDSEINGABE&lt;2,"",IF(
VA_ZUGANG_2="","Bezeichnung der Bahnhofsseite fehlt",
VA_ZUGANG_2))</f>
        <v/>
      </c>
      <c r="N118" s="1133"/>
      <c r="O118" s="1133"/>
      <c r="P118" s="1133"/>
      <c r="Q118" s="1133"/>
      <c r="R118" s="1133"/>
      <c r="S118" s="1133"/>
      <c r="T118" s="1133"/>
      <c r="U118" s="227"/>
      <c r="W118" s="204"/>
      <c r="X118" s="504"/>
    </row>
    <row r="119" spans="1:24" ht="14" customHeight="1">
      <c r="A119" s="227"/>
      <c r="B119" s="254"/>
      <c r="K119" s="268"/>
      <c r="U119" s="227"/>
      <c r="W119" s="204"/>
      <c r="X119" s="504"/>
    </row>
    <row r="120" spans="1:24" ht="14" customHeight="1">
      <c r="A120" s="227"/>
      <c r="B120" s="254"/>
      <c r="C120" s="1140" t="str">
        <f>IF(
VA_BESTANDSEINGABE=0,"Eingabe bei Bestand und Auslastung (oben) fehlt",
"Gemäß ihrer Eingabe befinden sich am o.g. Standort "&amp;VA_VERLEGUNG_1&amp;" optimale Stellplätze.")</f>
        <v>Eingabe bei Bestand und Auslastung (oben) fehlt</v>
      </c>
      <c r="D120" s="1140"/>
      <c r="E120" s="1140"/>
      <c r="F120" s="1140"/>
      <c r="G120" s="1140"/>
      <c r="H120" s="1140"/>
      <c r="I120" s="1140"/>
      <c r="J120" s="1140"/>
      <c r="K120" s="268"/>
      <c r="M120" s="1140" t="str">
        <f>IF(
VA_BESTANDSEINGABE&lt;2,"Eingabe bei Bestand und Auslastung (oben) fehlt",
"Gemäß ihrer Eingabe befinden sich am o.g. Standort "&amp;VA_VERLEGUNG_2&amp;" optimale Stellplätze.")</f>
        <v>Eingabe bei Bestand und Auslastung (oben) fehlt</v>
      </c>
      <c r="N120" s="1140"/>
      <c r="O120" s="1140"/>
      <c r="P120" s="1140"/>
      <c r="Q120" s="1140"/>
      <c r="R120" s="1140"/>
      <c r="S120" s="1140"/>
      <c r="T120" s="1140"/>
      <c r="U120" s="227"/>
      <c r="W120" s="204"/>
      <c r="X120" s="504"/>
    </row>
    <row r="121" spans="1:24" ht="14" customHeight="1">
      <c r="A121" s="227"/>
      <c r="B121" s="254"/>
      <c r="K121" s="268"/>
      <c r="U121" s="227"/>
      <c r="W121" s="204"/>
      <c r="X121" s="504"/>
    </row>
    <row r="122" spans="1:24" ht="18" customHeight="1">
      <c r="A122" s="227"/>
      <c r="B122" s="254"/>
      <c r="C122" s="203" t="s">
        <v>146</v>
      </c>
      <c r="K122" s="268"/>
      <c r="M122" s="203" t="s">
        <v>65</v>
      </c>
      <c r="U122" s="227"/>
      <c r="W122" s="204"/>
      <c r="X122" s="504"/>
    </row>
    <row r="123" spans="1:24" ht="18" customHeight="1">
      <c r="A123" s="227"/>
      <c r="B123" s="254"/>
      <c r="C123" s="203" t="s">
        <v>139</v>
      </c>
      <c r="K123" s="268"/>
      <c r="M123" s="203" t="s">
        <v>139</v>
      </c>
      <c r="U123" s="227"/>
      <c r="W123" s="204"/>
      <c r="X123" s="504"/>
    </row>
    <row r="124" spans="1:24" ht="14" customHeight="1">
      <c r="A124" s="227"/>
      <c r="B124" s="254"/>
      <c r="K124" s="268"/>
      <c r="U124" s="227"/>
      <c r="W124" s="204"/>
      <c r="X124" s="504"/>
    </row>
    <row r="125" spans="1:24" ht="18" customHeight="1">
      <c r="A125" s="227"/>
      <c r="B125" s="254"/>
      <c r="C125" s="279" t="s">
        <v>48</v>
      </c>
      <c r="J125" s="288"/>
      <c r="K125" s="268"/>
      <c r="M125" s="279" t="s">
        <v>48</v>
      </c>
      <c r="T125" s="288"/>
      <c r="U125" s="227"/>
      <c r="W125" s="204"/>
      <c r="X125" s="504"/>
    </row>
    <row r="126" spans="1:24" ht="18" customHeight="1" thickBot="1">
      <c r="A126" s="227"/>
      <c r="B126" s="255"/>
      <c r="C126" s="1139" t="str">
        <f>TBS_F3a</f>
        <v/>
      </c>
      <c r="D126" s="1139"/>
      <c r="E126" s="1139"/>
      <c r="F126" s="1139"/>
      <c r="G126" s="1139"/>
      <c r="H126" s="240"/>
      <c r="I126" s="296" t="s">
        <v>49</v>
      </c>
      <c r="J126" s="297">
        <f>VA_VERLEGUNG_1</f>
        <v>0</v>
      </c>
      <c r="K126" s="291"/>
      <c r="L126" s="240"/>
      <c r="M126" s="1139" t="str">
        <f>TBS_F3b</f>
        <v/>
      </c>
      <c r="N126" s="1139"/>
      <c r="O126" s="1139"/>
      <c r="P126" s="1139"/>
      <c r="Q126" s="1139"/>
      <c r="R126" s="240"/>
      <c r="S126" s="296" t="s">
        <v>49</v>
      </c>
      <c r="T126" s="297">
        <f>VA_VERLEGUNG_2</f>
        <v>0</v>
      </c>
      <c r="U126" s="241"/>
      <c r="W126" s="204"/>
      <c r="X126" s="504"/>
    </row>
    <row r="127" spans="1:24" ht="14" customHeight="1">
      <c r="C127" s="298"/>
      <c r="D127" s="298"/>
      <c r="E127" s="298"/>
      <c r="F127" s="298"/>
      <c r="G127" s="298"/>
      <c r="I127" s="299"/>
      <c r="J127" s="300"/>
      <c r="M127" s="298"/>
      <c r="N127" s="298"/>
      <c r="O127" s="298"/>
      <c r="P127" s="298"/>
      <c r="Q127" s="298"/>
      <c r="S127" s="299"/>
      <c r="T127" s="300"/>
      <c r="W127" s="204"/>
      <c r="X127" s="504"/>
    </row>
    <row r="128" spans="1:24" ht="24" customHeight="1">
      <c r="C128" s="298"/>
      <c r="D128" s="298"/>
      <c r="E128" s="298"/>
      <c r="F128" s="298"/>
      <c r="G128" s="298"/>
      <c r="I128" s="299"/>
      <c r="J128" s="300"/>
      <c r="M128" s="298"/>
      <c r="N128" s="298"/>
      <c r="O128" s="298"/>
      <c r="P128" s="298"/>
      <c r="Q128" s="298"/>
      <c r="S128" s="299"/>
      <c r="T128" s="300"/>
      <c r="W128" s="204"/>
      <c r="X128" s="504"/>
    </row>
    <row r="129" spans="1:24" ht="14" customHeight="1">
      <c r="W129" s="204"/>
      <c r="X129" s="504"/>
    </row>
    <row r="130" spans="1:24" ht="5" customHeight="1">
      <c r="A130" s="204"/>
      <c r="B130" s="204"/>
      <c r="C130" s="204"/>
      <c r="D130" s="204"/>
      <c r="E130" s="204"/>
      <c r="F130" s="204"/>
      <c r="G130" s="204"/>
      <c r="H130" s="204"/>
      <c r="I130" s="204"/>
      <c r="J130" s="204"/>
      <c r="K130" s="204"/>
      <c r="L130" s="204"/>
      <c r="M130" s="204"/>
      <c r="N130" s="204"/>
      <c r="O130" s="204"/>
      <c r="P130" s="204"/>
      <c r="Q130" s="204"/>
      <c r="R130" s="204"/>
      <c r="S130" s="204"/>
      <c r="T130" s="204"/>
      <c r="U130" s="204"/>
      <c r="V130" s="204"/>
      <c r="W130" s="204"/>
      <c r="X130" s="504"/>
    </row>
    <row r="131" spans="1:24" ht="45" customHeight="1">
      <c r="A131" s="504"/>
      <c r="B131" s="504"/>
      <c r="C131" s="504"/>
      <c r="D131" s="504"/>
      <c r="E131" s="504"/>
      <c r="F131" s="1035" t="s">
        <v>701</v>
      </c>
      <c r="G131" s="1035"/>
      <c r="H131" s="1035"/>
      <c r="I131" s="1035"/>
      <c r="J131" s="1035"/>
      <c r="K131" s="1035"/>
      <c r="L131" s="1035"/>
      <c r="M131" s="1035"/>
      <c r="N131" s="1035"/>
      <c r="O131" s="1035"/>
      <c r="P131" s="1035"/>
      <c r="Q131" s="504"/>
      <c r="R131" s="504"/>
      <c r="S131" s="504"/>
      <c r="T131" s="504"/>
      <c r="U131" s="504"/>
      <c r="V131" s="504"/>
      <c r="W131" s="504"/>
      <c r="X131" s="504"/>
    </row>
    <row r="132" spans="1:24" s="301" customFormat="1" ht="26.25" customHeight="1"/>
    <row r="134" spans="1:24" ht="18" customHeight="1">
      <c r="A134" s="505"/>
    </row>
  </sheetData>
  <sheetProtection algorithmName="SHA-512" hashValue="mFT00mO7WbHRp04bcr9UGX/+syfGdJ+SU8CynZ6DqQGJNutrQrXsgpWxffze7nKaf9uQEBGPqyTw7n6yKkRp+A==" saltValue="eKjy8a3cpDyJGMm8vo0anQ==" spinCount="100000" sheet="1" objects="1" scenarios="1"/>
  <mergeCells count="88">
    <mergeCell ref="O33:Q33"/>
    <mergeCell ref="R33:T33"/>
    <mergeCell ref="F32:H32"/>
    <mergeCell ref="I32:K32"/>
    <mergeCell ref="L32:N32"/>
    <mergeCell ref="O32:Q32"/>
    <mergeCell ref="R32:T32"/>
    <mergeCell ref="C33:E33"/>
    <mergeCell ref="C32:E32"/>
    <mergeCell ref="F33:H33"/>
    <mergeCell ref="I30:K30"/>
    <mergeCell ref="L30:N30"/>
    <mergeCell ref="I33:K33"/>
    <mergeCell ref="L33:N33"/>
    <mergeCell ref="O30:Q30"/>
    <mergeCell ref="R30:T30"/>
    <mergeCell ref="F31:H31"/>
    <mergeCell ref="I31:K31"/>
    <mergeCell ref="L31:N31"/>
    <mergeCell ref="O31:Q31"/>
    <mergeCell ref="R31:T31"/>
    <mergeCell ref="I28:K28"/>
    <mergeCell ref="L28:N28"/>
    <mergeCell ref="O28:Q28"/>
    <mergeCell ref="R28:T28"/>
    <mergeCell ref="F29:H29"/>
    <mergeCell ref="I29:K29"/>
    <mergeCell ref="L29:N29"/>
    <mergeCell ref="O29:Q29"/>
    <mergeCell ref="R29:T29"/>
    <mergeCell ref="C27:E28"/>
    <mergeCell ref="C29:E29"/>
    <mergeCell ref="C30:E30"/>
    <mergeCell ref="C31:E31"/>
    <mergeCell ref="F28:H28"/>
    <mergeCell ref="F30:H30"/>
    <mergeCell ref="F131:P131"/>
    <mergeCell ref="C26:H26"/>
    <mergeCell ref="I26:T26"/>
    <mergeCell ref="I27:T27"/>
    <mergeCell ref="E47:F47"/>
    <mergeCell ref="G47:H47"/>
    <mergeCell ref="I47:J47"/>
    <mergeCell ref="C43:J43"/>
    <mergeCell ref="C44:J44"/>
    <mergeCell ref="N41:S41"/>
    <mergeCell ref="D41:I41"/>
    <mergeCell ref="E46:J46"/>
    <mergeCell ref="O46:T46"/>
    <mergeCell ref="M44:T44"/>
    <mergeCell ref="M43:T43"/>
    <mergeCell ref="O47:P47"/>
    <mergeCell ref="C126:G126"/>
    <mergeCell ref="M126:Q126"/>
    <mergeCell ref="E92:F92"/>
    <mergeCell ref="G92:H92"/>
    <mergeCell ref="I92:J92"/>
    <mergeCell ref="O92:P92"/>
    <mergeCell ref="Q92:R92"/>
    <mergeCell ref="C120:J120"/>
    <mergeCell ref="M118:T118"/>
    <mergeCell ref="M120:T120"/>
    <mergeCell ref="S92:T92"/>
    <mergeCell ref="E91:J91"/>
    <mergeCell ref="O91:T91"/>
    <mergeCell ref="E62:F62"/>
    <mergeCell ref="G62:H62"/>
    <mergeCell ref="I62:J62"/>
    <mergeCell ref="E77:F77"/>
    <mergeCell ref="G77:H77"/>
    <mergeCell ref="I77:J77"/>
    <mergeCell ref="O77:P77"/>
    <mergeCell ref="Y1:AA1"/>
    <mergeCell ref="M38:T38"/>
    <mergeCell ref="A1:B1"/>
    <mergeCell ref="R1:T1"/>
    <mergeCell ref="C118:J118"/>
    <mergeCell ref="Q77:R77"/>
    <mergeCell ref="Q47:R47"/>
    <mergeCell ref="S47:T47"/>
    <mergeCell ref="S62:T62"/>
    <mergeCell ref="S77:T77"/>
    <mergeCell ref="O61:T61"/>
    <mergeCell ref="Q62:R62"/>
    <mergeCell ref="O62:P62"/>
    <mergeCell ref="E61:J61"/>
    <mergeCell ref="E76:J76"/>
    <mergeCell ref="O76:T76"/>
  </mergeCells>
  <conditionalFormatting sqref="A1:Q1">
    <cfRule type="expression" dxfId="142" priority="5">
      <formula>OR(VA_FEHLER_AB&gt;0,VA_FEHLER_C&gt;0,VA_FEHLER_D&gt;0)</formula>
    </cfRule>
  </conditionalFormatting>
  <conditionalFormatting sqref="C43 M43 O49:T52 O54:P54 P56 P58 O64:T67 O69:P69 P71 P73 O79:T82 O84:P84 P86 P88 O94:T97 O99:P99 P101 P103 T125 E49:J52 E54:F54 F56 F58 E64:J67 E69:F69 F71 F73 E79:J82 E84:F84 F86 F88 E94:J97 E99:F99 F101 F103 J125">
    <cfRule type="expression" dxfId="141" priority="114">
      <formula>VA_BESTANDSEINGABE=0</formula>
    </cfRule>
  </conditionalFormatting>
  <conditionalFormatting sqref="C43 M43">
    <cfRule type="expression" dxfId="140" priority="4">
      <formula>OR(VA_BESTANDSEINGABE=0,VA_BESTANDSEINGABE=1)</formula>
    </cfRule>
  </conditionalFormatting>
  <conditionalFormatting sqref="C126:G126">
    <cfRule type="expression" dxfId="139" priority="18">
      <formula>AND(C126&lt;&gt;"",VA_BESTANDSEINGABE&gt;0)</formula>
    </cfRule>
  </conditionalFormatting>
  <conditionalFormatting sqref="C43:J43 M43 O49:T52 O54:P54 P56 P58 O64:T67 O69:P69 P71 P73 O79:T82 O84:P84 P86 P88 O94:T97 O99:P99 P101 P103 T125">
    <cfRule type="expression" dxfId="138" priority="109">
      <formula>VA_BESTANDSEINGABE=1</formula>
    </cfRule>
  </conditionalFormatting>
  <conditionalFormatting sqref="C43:J43 M43:T43 C47:J58 M47:T58 C62:J73 M62:T73 C77:J88 M77:T88 C92:J103 M92:T103 J125 T125">
    <cfRule type="expression" dxfId="137" priority="116">
      <formula>VA_BESTANDSEINGABE=0</formula>
    </cfRule>
  </conditionalFormatting>
  <conditionalFormatting sqref="C43:J43 M43:T43 M47:T58 M62:T73 M77:T88 M92:T103 T125">
    <cfRule type="expression" dxfId="136" priority="112">
      <formula>VA_BESTANDSEINGABE=1</formula>
    </cfRule>
  </conditionalFormatting>
  <conditionalFormatting sqref="C43:J103 M43:T103 C118:J126 M118:T126">
    <cfRule type="expression" dxfId="135" priority="117">
      <formula>VA_BESTANDSEINGABE=0</formula>
    </cfRule>
  </conditionalFormatting>
  <conditionalFormatting sqref="C44:J44">
    <cfRule type="expression" dxfId="134" priority="14">
      <formula>VA_ZUGANG_1&lt;&gt;""</formula>
    </cfRule>
  </conditionalFormatting>
  <conditionalFormatting sqref="E46 E61 E76 E91">
    <cfRule type="expression" dxfId="133" priority="89">
      <formula>AND(E46&lt;&gt;"",VA_BESTANDSEINGABE&gt;0)</formula>
    </cfRule>
  </conditionalFormatting>
  <conditionalFormatting sqref="F49:F52 H49:H52 J49:J52 P49:P52 R49:R52 T49:T52 F54 P54 F64:F67 H64:H67 J64:J67 P64:P67 R64:R67 T64:T67 F69 P69 F79:F82 H79:H82 J79:J82 P79:P82 R79:R82 T79:T82 F84 P84 F94:F97 H94:H97 J94:J97 P94:P97 R94:R97 T94:T97 F99 P99">
    <cfRule type="expression" dxfId="132" priority="120">
      <formula>F49&gt;E49</formula>
    </cfRule>
  </conditionalFormatting>
  <conditionalFormatting sqref="I27:T27 I34:T34">
    <cfRule type="expression" dxfId="131" priority="15">
      <formula>VA_VERKEHRSSTATION&lt;&gt;""</formula>
    </cfRule>
  </conditionalFormatting>
  <conditionalFormatting sqref="J125 T125">
    <cfRule type="expression" dxfId="130" priority="119">
      <formula>J125&gt;J126</formula>
    </cfRule>
  </conditionalFormatting>
  <conditionalFormatting sqref="L38 M40:T40">
    <cfRule type="expression" dxfId="129" priority="108">
      <formula>VA_BESTANDSEINGABE&gt;0</formula>
    </cfRule>
  </conditionalFormatting>
  <conditionalFormatting sqref="M38">
    <cfRule type="expression" dxfId="128" priority="90">
      <formula>VA_BESTANDSEINGABE=0</formula>
    </cfRule>
  </conditionalFormatting>
  <conditionalFormatting sqref="M44 O46 O61 O76 O91 M126:T126 E46 E61 E76 E91 C126:J126 C41:T41 C44">
    <cfRule type="expression" dxfId="127" priority="115">
      <formula>VA_BESTANDSEINGABE=0</formula>
    </cfRule>
  </conditionalFormatting>
  <conditionalFormatting sqref="M44">
    <cfRule type="expression" dxfId="126" priority="13">
      <formula>VA_ZUGANG_2&lt;&gt;""</formula>
    </cfRule>
  </conditionalFormatting>
  <conditionalFormatting sqref="M126:Q126">
    <cfRule type="expression" dxfId="125" priority="16">
      <formula>AND(M126&lt;&gt;"",VA_BESTANDSEINGABE=2)</formula>
    </cfRule>
  </conditionalFormatting>
  <conditionalFormatting sqref="M43:T103 M120:T126 C43:J43">
    <cfRule type="expression" dxfId="124" priority="113">
      <formula>VA_BESTANDSEINGABE=1</formula>
    </cfRule>
  </conditionalFormatting>
  <conditionalFormatting sqref="O46 O61 O76 O91 M126:T126 M41:T41 C44:J44 M44">
    <cfRule type="expression" dxfId="123" priority="110">
      <formula>VA_BESTANDSEINGABE=1</formula>
    </cfRule>
  </conditionalFormatting>
  <conditionalFormatting sqref="O46 O61 O76 O91">
    <cfRule type="expression" dxfId="122" priority="19">
      <formula>AND(O46&lt;&gt;"",VA_BESTANDSEINGABE=2)</formula>
    </cfRule>
  </conditionalFormatting>
  <conditionalFormatting sqref="Y1">
    <cfRule type="expression" dxfId="121" priority="2">
      <formula>V_ARBEIT=0</formula>
    </cfRule>
  </conditionalFormatting>
  <dataValidations count="5">
    <dataValidation type="whole" operator="greaterThanOrEqual" allowBlank="1" showErrorMessage="1" errorTitle="Eingabefehler" error="Nur ganze, positive Zahlen sowie 0 erlaubt." sqref="E49:J52 O49:T52 T125 E64:J67 F58 O64:T67 E99:F99 E79:J82 F73 O79:T82 O84:P84 E94:J97 O54:P54 O94:T97 O99:P99 P103 O69:P69 E54:F54 E69:F69 P73 F88 P88 F103 E84:F84 J125 F71 P71 F86 P86 F101 P101 F56 P56 P58" xr:uid="{D12C5972-B31B-40BF-9577-9E61ECF6F61A}">
      <formula1>0</formula1>
    </dataValidation>
    <dataValidation type="textLength" allowBlank="1" showInputMessage="1" showErrorMessage="1" errorTitle="Eingabefehler" error="Texteingabe begrenzt auf 55 Zeichen (inkl. Leerzeichen)." sqref="I26:T26 M43:T43 C43:J43" xr:uid="{921A01A0-14E4-4E27-8992-C62F3C03929C}">
      <formula1>0</formula1>
      <formula2>55</formula2>
    </dataValidation>
    <dataValidation type="list" allowBlank="1" showErrorMessage="1" errorTitle="Eingabefehler" error="Bitte Eintrag aus der Auswahlliste wählen." sqref="M38" xr:uid="{3D845185-8C75-4AD5-B2E2-E321BB1A71E1}">
      <formula1>R_BESTANDSEINGABE</formula1>
    </dataValidation>
    <dataValidation type="textLength" operator="lessThanOrEqual" allowBlank="1" showInputMessage="1" showErrorMessage="1" errorTitle="Eingabefehler" error="Es sind maximal 15 Zeichen (inkl. Leerzeichen) erlaubt." sqref="F29:T30" xr:uid="{8D107A45-C036-4941-9537-F1E917987947}">
      <formula1>15</formula1>
    </dataValidation>
    <dataValidation type="textLength" operator="lessThanOrEqual" allowBlank="1" showInputMessage="1" showErrorMessage="1" errorTitle="Eingabefehler" error="Es sind maximal 25 Zeichen (inkl. Leerzeichen) erlaubt." sqref="F31:T33" xr:uid="{EC8BCC5E-CE5D-4B74-80B6-DFB1BE97BEB1}">
      <formula1>25</formula1>
    </dataValidation>
  </dataValidations>
  <printOptions horizontalCentered="1"/>
  <pageMargins left="0.70866141732283472" right="0.70866141732283472" top="0.78740157480314965" bottom="0.78740157480314965" header="0.39370078740157483" footer="0.27559055118110237"/>
  <pageSetup paperSize="9" scale="47" orientation="portrait" errors="blank" r:id="rId1"/>
  <headerFooter scaleWithDoc="0">
    <oddHeader>&amp;L&amp;13Bestandseingabe und Auslastung&amp;R&amp;G</oddHeader>
    <oddFooter>&amp;L&amp;G&amp;C&amp;6&amp;U&amp;K02+000Infostelle Fahrradparken&amp;18&amp;U&amp;K01+000
&amp;9https://radparken.info&amp;R&amp;KA5A5A5&amp;"Calibri"&amp;6Druck am: &amp;D
Tabellenreiter: &amp;A
Version: 3.6 (08.01.2025)</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BB572-9A95-4331-8D52-7E69C7417CE5}">
  <sheetPr codeName="Sheet3">
    <tabColor theme="6" tint="0.59999389629810485"/>
    <pageSetUpPr autoPageBreaks="0" fitToPage="1"/>
  </sheetPr>
  <dimension ref="A1:AA111"/>
  <sheetViews>
    <sheetView showGridLines="0" showRowColHeaders="0" zoomScaleNormal="100" workbookViewId="0">
      <pane ySplit="3" topLeftCell="A4" activePane="bottomLeft" state="frozen"/>
      <selection activeCell="A4" sqref="A4"/>
      <selection pane="bottomLeft" activeCell="A4" sqref="A4"/>
    </sheetView>
  </sheetViews>
  <sheetFormatPr baseColWidth="10" defaultColWidth="18.6640625" defaultRowHeight="18" customHeight="1"/>
  <cols>
    <col min="1" max="1" width="1.6640625" style="203" customWidth="1"/>
    <col min="2" max="2" width="3.6640625" style="203" customWidth="1"/>
    <col min="3" max="20" width="9.6640625" style="203" customWidth="1"/>
    <col min="21" max="21" width="3.6640625" style="203" customWidth="1"/>
    <col min="22" max="22" width="1.6640625" style="203" customWidth="1"/>
    <col min="23" max="23" width="0.83203125" style="203" customWidth="1"/>
    <col min="24" max="24" width="7.1640625" style="203" customWidth="1"/>
    <col min="25" max="16384" width="18.6640625" style="203"/>
  </cols>
  <sheetData>
    <row r="1" spans="1:27" ht="37.5" customHeight="1">
      <c r="A1" s="1036" t="s">
        <v>178</v>
      </c>
      <c r="B1" s="1036"/>
      <c r="C1" s="506" t="str">
        <f>TBS_FH</f>
        <v/>
      </c>
      <c r="D1" s="504"/>
      <c r="E1" s="504"/>
      <c r="F1" s="504"/>
      <c r="G1" s="504"/>
      <c r="H1" s="504"/>
      <c r="I1" s="504"/>
      <c r="J1" s="504"/>
      <c r="K1" s="504"/>
      <c r="L1" s="504"/>
      <c r="M1" s="504"/>
      <c r="N1" s="504"/>
      <c r="O1" s="504"/>
      <c r="P1" s="504"/>
      <c r="Q1" s="504"/>
      <c r="R1" s="1037" t="str">
        <f>"Ermittelter Baubedarf:"&amp;CHAR(10)&amp;VA_BBGESAMT</f>
        <v>Ermittelter Baubedarf:
es fehlen noch Daten</v>
      </c>
      <c r="S1" s="1038"/>
      <c r="T1" s="1038"/>
      <c r="U1" s="507"/>
      <c r="Y1" s="1034" t="s">
        <v>779</v>
      </c>
      <c r="Z1" s="1034"/>
      <c r="AA1" s="1034"/>
    </row>
    <row r="2" spans="1:27" ht="4" customHeight="1">
      <c r="A2" s="204"/>
      <c r="B2" s="205"/>
      <c r="C2" s="205"/>
      <c r="D2" s="204"/>
      <c r="E2" s="204"/>
      <c r="F2" s="204"/>
      <c r="G2" s="204"/>
      <c r="H2" s="204"/>
      <c r="I2" s="204"/>
      <c r="J2" s="204"/>
      <c r="K2" s="204"/>
      <c r="L2" s="204"/>
      <c r="M2" s="204"/>
      <c r="N2" s="204"/>
      <c r="O2" s="204"/>
      <c r="P2" s="204"/>
      <c r="Q2" s="204"/>
      <c r="R2" s="204"/>
      <c r="S2" s="204"/>
      <c r="T2" s="204"/>
      <c r="U2" s="204"/>
      <c r="V2" s="204"/>
      <c r="W2" s="204"/>
    </row>
    <row r="3" spans="1:27" ht="4" customHeight="1">
      <c r="B3" s="206"/>
      <c r="C3" s="206"/>
      <c r="W3" s="204"/>
    </row>
    <row r="4" spans="1:27" ht="14" customHeight="1" thickBot="1">
      <c r="B4" s="240"/>
      <c r="C4" s="240"/>
      <c r="D4" s="240"/>
      <c r="E4" s="240"/>
      <c r="F4" s="240"/>
      <c r="G4" s="240"/>
      <c r="H4" s="240"/>
      <c r="I4" s="240"/>
      <c r="J4" s="240"/>
      <c r="K4" s="240"/>
      <c r="L4" s="240"/>
      <c r="M4" s="240"/>
      <c r="N4" s="240"/>
      <c r="O4" s="240"/>
      <c r="P4" s="240"/>
      <c r="Q4" s="240"/>
      <c r="R4" s="240"/>
      <c r="S4" s="240"/>
      <c r="T4" s="240"/>
      <c r="U4" s="240"/>
      <c r="W4" s="204"/>
    </row>
    <row r="5" spans="1:27" ht="32" customHeight="1">
      <c r="B5" s="256"/>
      <c r="C5" s="257" t="s">
        <v>12</v>
      </c>
      <c r="D5" s="258"/>
      <c r="E5" s="258"/>
      <c r="F5" s="258"/>
      <c r="G5" s="258"/>
      <c r="H5" s="258"/>
      <c r="I5" s="258"/>
      <c r="J5" s="258"/>
      <c r="K5" s="258"/>
      <c r="L5" s="258"/>
      <c r="M5" s="258"/>
      <c r="N5" s="258"/>
      <c r="O5" s="258"/>
      <c r="P5" s="258"/>
      <c r="Q5" s="258"/>
      <c r="R5" s="258"/>
      <c r="S5" s="258"/>
      <c r="T5" s="258"/>
      <c r="U5" s="259"/>
      <c r="W5" s="204"/>
    </row>
    <row r="6" spans="1:27" ht="14" customHeight="1">
      <c r="B6" s="245"/>
      <c r="C6" s="202"/>
      <c r="D6" s="202"/>
      <c r="E6" s="202"/>
      <c r="F6" s="202"/>
      <c r="G6" s="202"/>
      <c r="H6" s="202"/>
      <c r="I6" s="202"/>
      <c r="J6" s="202"/>
      <c r="K6" s="202"/>
      <c r="L6" s="202"/>
      <c r="M6" s="202"/>
      <c r="N6" s="202"/>
      <c r="O6" s="202"/>
      <c r="P6" s="202"/>
      <c r="Q6" s="202"/>
      <c r="R6" s="202"/>
      <c r="S6" s="202"/>
      <c r="T6" s="202"/>
      <c r="U6" s="246"/>
      <c r="W6" s="204"/>
    </row>
    <row r="7" spans="1:27" ht="18" customHeight="1">
      <c r="B7" s="245"/>
      <c r="C7" s="202" t="s">
        <v>806</v>
      </c>
      <c r="D7" s="202"/>
      <c r="E7" s="202"/>
      <c r="F7" s="202"/>
      <c r="G7" s="202"/>
      <c r="H7" s="202"/>
      <c r="I7" s="202"/>
      <c r="J7" s="202"/>
      <c r="K7" s="202"/>
      <c r="L7" s="202"/>
      <c r="M7" s="202"/>
      <c r="N7" s="202"/>
      <c r="O7" s="202"/>
      <c r="P7" s="202"/>
      <c r="Q7" s="202"/>
      <c r="R7" s="202"/>
      <c r="S7" s="202"/>
      <c r="T7" s="202"/>
      <c r="U7" s="246"/>
      <c r="W7" s="204"/>
    </row>
    <row r="8" spans="1:27" ht="18" customHeight="1">
      <c r="A8" s="227"/>
      <c r="B8" s="245"/>
      <c r="C8" s="202" t="s">
        <v>808</v>
      </c>
      <c r="D8" s="202"/>
      <c r="E8" s="202"/>
      <c r="F8" s="202"/>
      <c r="G8" s="202"/>
      <c r="H8" s="202"/>
      <c r="I8" s="202"/>
      <c r="J8" s="202"/>
      <c r="K8" s="202"/>
      <c r="L8" s="202"/>
      <c r="M8" s="202"/>
      <c r="N8" s="202"/>
      <c r="O8" s="202"/>
      <c r="P8" s="202"/>
      <c r="Q8" s="202"/>
      <c r="R8" s="202"/>
      <c r="S8" s="202"/>
      <c r="T8" s="202"/>
      <c r="U8" s="246"/>
      <c r="W8" s="204"/>
    </row>
    <row r="9" spans="1:27" ht="18" customHeight="1">
      <c r="A9" s="227"/>
      <c r="B9" s="245"/>
      <c r="C9" s="202" t="s">
        <v>807</v>
      </c>
      <c r="D9" s="202"/>
      <c r="E9" s="202"/>
      <c r="F9" s="202"/>
      <c r="G9" s="202"/>
      <c r="H9" s="202"/>
      <c r="I9" s="202"/>
      <c r="J9" s="202"/>
      <c r="K9" s="202"/>
      <c r="L9" s="202"/>
      <c r="M9" s="202"/>
      <c r="N9" s="202"/>
      <c r="O9" s="202"/>
      <c r="P9" s="202"/>
      <c r="Q9" s="202"/>
      <c r="R9" s="202"/>
      <c r="S9" s="202"/>
      <c r="T9" s="202"/>
      <c r="U9" s="246"/>
      <c r="W9" s="204"/>
    </row>
    <row r="10" spans="1:27" ht="6" customHeight="1">
      <c r="A10" s="227"/>
      <c r="B10" s="245"/>
      <c r="C10" s="202"/>
      <c r="D10" s="202"/>
      <c r="E10" s="202"/>
      <c r="F10" s="202"/>
      <c r="G10" s="202"/>
      <c r="H10" s="202"/>
      <c r="I10" s="202"/>
      <c r="J10" s="202"/>
      <c r="K10" s="202"/>
      <c r="L10" s="202"/>
      <c r="M10" s="202"/>
      <c r="N10" s="202"/>
      <c r="O10" s="202"/>
      <c r="P10" s="202"/>
      <c r="Q10" s="202"/>
      <c r="R10" s="202"/>
      <c r="S10" s="202"/>
      <c r="T10" s="202"/>
      <c r="U10" s="246"/>
      <c r="W10" s="204"/>
    </row>
    <row r="11" spans="1:27" ht="18" customHeight="1">
      <c r="A11" s="227"/>
      <c r="B11" s="245"/>
      <c r="C11" s="202" t="s">
        <v>805</v>
      </c>
      <c r="D11" s="202"/>
      <c r="E11" s="202"/>
      <c r="F11" s="202"/>
      <c r="G11" s="202"/>
      <c r="H11" s="202"/>
      <c r="I11" s="202"/>
      <c r="J11" s="202"/>
      <c r="K11" s="202"/>
      <c r="L11" s="202"/>
      <c r="M11" s="202"/>
      <c r="N11" s="202"/>
      <c r="O11" s="202"/>
      <c r="P11" s="202"/>
      <c r="Q11" s="202"/>
      <c r="R11" s="202"/>
      <c r="S11" s="202"/>
      <c r="T11" s="202"/>
      <c r="U11" s="246"/>
      <c r="W11" s="204"/>
    </row>
    <row r="12" spans="1:27" ht="6" customHeight="1">
      <c r="A12" s="227"/>
      <c r="B12" s="245"/>
      <c r="C12" s="202"/>
      <c r="D12" s="202"/>
      <c r="E12" s="202"/>
      <c r="F12" s="202"/>
      <c r="G12" s="202"/>
      <c r="H12" s="202"/>
      <c r="I12" s="202"/>
      <c r="J12" s="202"/>
      <c r="K12" s="202"/>
      <c r="L12" s="202"/>
      <c r="M12" s="202"/>
      <c r="N12" s="202"/>
      <c r="O12" s="202"/>
      <c r="P12" s="202"/>
      <c r="Q12" s="202"/>
      <c r="R12" s="202"/>
      <c r="S12" s="202"/>
      <c r="T12" s="202"/>
      <c r="U12" s="246"/>
      <c r="W12" s="204"/>
    </row>
    <row r="13" spans="1:27" ht="18" customHeight="1">
      <c r="A13" s="227"/>
      <c r="B13" s="245"/>
      <c r="C13" s="202" t="s">
        <v>281</v>
      </c>
      <c r="D13" s="202"/>
      <c r="E13" s="202"/>
      <c r="F13" s="202"/>
      <c r="G13" s="202"/>
      <c r="H13" s="202"/>
      <c r="I13" s="202"/>
      <c r="J13" s="202"/>
      <c r="K13" s="202"/>
      <c r="L13" s="202"/>
      <c r="M13" s="202"/>
      <c r="N13" s="202"/>
      <c r="O13" s="202"/>
      <c r="P13" s="202"/>
      <c r="Q13" s="202"/>
      <c r="R13" s="202"/>
      <c r="S13" s="202"/>
      <c r="T13" s="202"/>
      <c r="U13" s="246"/>
      <c r="W13" s="204"/>
    </row>
    <row r="14" spans="1:27" ht="18" customHeight="1">
      <c r="A14" s="227"/>
      <c r="B14" s="245"/>
      <c r="C14" s="202" t="s">
        <v>282</v>
      </c>
      <c r="D14" s="202"/>
      <c r="E14" s="202"/>
      <c r="F14" s="202"/>
      <c r="G14" s="202"/>
      <c r="H14" s="202"/>
      <c r="I14" s="202"/>
      <c r="J14" s="202"/>
      <c r="K14" s="202"/>
      <c r="L14" s="202"/>
      <c r="M14" s="202"/>
      <c r="N14" s="202"/>
      <c r="O14" s="202"/>
      <c r="P14" s="202"/>
      <c r="Q14" s="202"/>
      <c r="R14" s="202"/>
      <c r="S14" s="202"/>
      <c r="T14" s="202"/>
      <c r="U14" s="246"/>
      <c r="W14" s="204"/>
    </row>
    <row r="15" spans="1:27" ht="18" customHeight="1">
      <c r="A15" s="227"/>
      <c r="B15" s="245"/>
      <c r="C15" s="202" t="s">
        <v>286</v>
      </c>
      <c r="D15" s="202"/>
      <c r="E15" s="202"/>
      <c r="F15" s="202"/>
      <c r="G15" s="202"/>
      <c r="H15" s="202"/>
      <c r="I15" s="202"/>
      <c r="J15" s="202"/>
      <c r="K15" s="202"/>
      <c r="L15" s="202"/>
      <c r="M15" s="202"/>
      <c r="N15" s="202"/>
      <c r="O15" s="202"/>
      <c r="P15" s="202"/>
      <c r="Q15" s="202"/>
      <c r="R15" s="202"/>
      <c r="S15" s="202"/>
      <c r="T15" s="202"/>
      <c r="U15" s="246"/>
      <c r="W15" s="204"/>
    </row>
    <row r="16" spans="1:27" ht="18" customHeight="1">
      <c r="A16" s="227"/>
      <c r="B16" s="245"/>
      <c r="C16" s="202" t="s">
        <v>280</v>
      </c>
      <c r="D16" s="202"/>
      <c r="E16" s="202"/>
      <c r="F16" s="202"/>
      <c r="G16" s="202"/>
      <c r="H16" s="202"/>
      <c r="I16" s="202"/>
      <c r="J16" s="202"/>
      <c r="K16" s="202"/>
      <c r="L16" s="202"/>
      <c r="M16" s="202"/>
      <c r="N16" s="202"/>
      <c r="O16" s="202"/>
      <c r="P16" s="202"/>
      <c r="Q16" s="202"/>
      <c r="R16" s="202"/>
      <c r="S16" s="202"/>
      <c r="T16" s="202"/>
      <c r="U16" s="246"/>
      <c r="W16" s="204"/>
    </row>
    <row r="17" spans="1:25" ht="14" customHeight="1">
      <c r="A17" s="227"/>
      <c r="B17" s="245"/>
      <c r="C17" s="202"/>
      <c r="D17" s="202"/>
      <c r="E17" s="202"/>
      <c r="F17" s="202"/>
      <c r="G17" s="202"/>
      <c r="H17" s="202"/>
      <c r="I17" s="202"/>
      <c r="J17" s="202"/>
      <c r="K17" s="202"/>
      <c r="L17" s="202"/>
      <c r="M17" s="202"/>
      <c r="N17" s="202"/>
      <c r="O17" s="202"/>
      <c r="P17" s="202"/>
      <c r="Q17" s="202"/>
      <c r="R17" s="202"/>
      <c r="S17" s="202"/>
      <c r="T17" s="202"/>
      <c r="U17" s="246"/>
      <c r="W17" s="204"/>
    </row>
    <row r="18" spans="1:25" ht="24" customHeight="1">
      <c r="A18" s="227"/>
      <c r="B18" s="681"/>
      <c r="C18" s="787" t="s">
        <v>672</v>
      </c>
      <c r="D18" s="787"/>
      <c r="E18" s="787"/>
      <c r="F18" s="787"/>
      <c r="G18" s="787"/>
      <c r="H18" s="787"/>
      <c r="I18" s="787"/>
      <c r="J18" s="787"/>
      <c r="K18" s="787"/>
      <c r="L18" s="787"/>
      <c r="M18" s="787"/>
      <c r="N18" s="787"/>
      <c r="O18" s="787"/>
      <c r="P18" s="787"/>
      <c r="Q18" s="787"/>
      <c r="R18" s="787"/>
      <c r="S18" s="787"/>
      <c r="T18" s="787"/>
      <c r="U18" s="393"/>
      <c r="W18" s="204"/>
      <c r="X18" s="504"/>
    </row>
    <row r="19" spans="1:25" ht="14" customHeight="1">
      <c r="A19" s="227"/>
      <c r="B19" s="292"/>
      <c r="C19" s="294"/>
      <c r="D19" s="294"/>
      <c r="E19" s="294"/>
      <c r="F19" s="294"/>
      <c r="G19" s="294"/>
      <c r="H19" s="294"/>
      <c r="I19" s="294"/>
      <c r="J19" s="294"/>
      <c r="K19" s="294"/>
      <c r="L19" s="294"/>
      <c r="M19" s="294"/>
      <c r="N19" s="294"/>
      <c r="O19" s="294"/>
      <c r="P19" s="294"/>
      <c r="Q19" s="294"/>
      <c r="R19" s="294"/>
      <c r="S19" s="294"/>
      <c r="T19" s="294"/>
      <c r="U19" s="295"/>
      <c r="W19" s="204"/>
      <c r="X19" s="504"/>
    </row>
    <row r="20" spans="1:25" ht="24" customHeight="1">
      <c r="A20" s="227"/>
      <c r="B20" s="290"/>
      <c r="C20" s="234" t="str">
        <f>IF(VA_VERKEHRSSTATION="","Ein- und Aussteiger heute","Ein- und Aussteiger heute an Verkehrsstation "&amp;VA_VERKEHRSSTATION)</f>
        <v>Ein- und Aussteiger heute</v>
      </c>
      <c r="D20" s="272"/>
      <c r="E20" s="272"/>
      <c r="F20" s="272"/>
      <c r="G20" s="272"/>
      <c r="H20" s="272"/>
      <c r="I20" s="272"/>
      <c r="J20" s="272"/>
      <c r="K20" s="272"/>
      <c r="L20" s="272"/>
      <c r="M20" s="272"/>
      <c r="N20" s="272"/>
      <c r="O20" s="272"/>
      <c r="P20" s="272"/>
      <c r="Q20" s="272"/>
      <c r="R20" s="272"/>
      <c r="S20" s="272"/>
      <c r="T20" s="272"/>
      <c r="U20" s="235"/>
      <c r="W20" s="204"/>
      <c r="X20" s="504"/>
    </row>
    <row r="21" spans="1:25" ht="14" customHeight="1">
      <c r="A21" s="227"/>
      <c r="B21" s="254"/>
      <c r="L21" s="302"/>
      <c r="U21" s="227"/>
      <c r="W21" s="204"/>
      <c r="X21" s="504"/>
    </row>
    <row r="22" spans="1:25" ht="18" customHeight="1">
      <c r="A22" s="227"/>
      <c r="B22" s="254"/>
      <c r="C22" s="203" t="s">
        <v>56</v>
      </c>
      <c r="L22" s="302"/>
      <c r="N22" s="1184"/>
      <c r="O22" s="1185"/>
      <c r="Q22" s="303" t="s">
        <v>69</v>
      </c>
      <c r="U22" s="227"/>
      <c r="W22" s="204"/>
      <c r="X22" s="504"/>
    </row>
    <row r="23" spans="1:25" ht="14" customHeight="1">
      <c r="A23" s="227"/>
      <c r="B23" s="236"/>
      <c r="C23" s="237"/>
      <c r="D23" s="237"/>
      <c r="E23" s="237"/>
      <c r="F23" s="237"/>
      <c r="G23" s="237"/>
      <c r="H23" s="237"/>
      <c r="I23" s="237"/>
      <c r="J23" s="237"/>
      <c r="K23" s="237"/>
      <c r="L23" s="304"/>
      <c r="M23" s="237"/>
      <c r="N23" s="237"/>
      <c r="O23" s="237"/>
      <c r="P23" s="237"/>
      <c r="Q23" s="237"/>
      <c r="R23" s="237"/>
      <c r="S23" s="237"/>
      <c r="T23" s="237"/>
      <c r="U23" s="239"/>
      <c r="W23" s="204"/>
      <c r="X23" s="504"/>
    </row>
    <row r="24" spans="1:25" ht="24" customHeight="1">
      <c r="A24" s="227"/>
      <c r="B24" s="271"/>
      <c r="C24" s="305" t="s">
        <v>212</v>
      </c>
      <c r="D24" s="306"/>
      <c r="E24" s="306"/>
      <c r="F24" s="306"/>
      <c r="G24" s="306"/>
      <c r="H24" s="306"/>
      <c r="I24" s="306"/>
      <c r="J24" s="306"/>
      <c r="K24" s="306"/>
      <c r="L24" s="306"/>
      <c r="M24" s="306"/>
      <c r="N24" s="306"/>
      <c r="O24" s="306"/>
      <c r="P24" s="306"/>
      <c r="Q24" s="306"/>
      <c r="R24" s="306"/>
      <c r="S24" s="306"/>
      <c r="T24" s="306"/>
      <c r="U24" s="238"/>
      <c r="W24" s="204"/>
      <c r="X24" s="504"/>
    </row>
    <row r="25" spans="1:25" ht="14" customHeight="1">
      <c r="A25" s="227"/>
      <c r="B25" s="254"/>
      <c r="U25" s="227"/>
      <c r="W25" s="204"/>
      <c r="X25" s="504"/>
    </row>
    <row r="26" spans="1:25" ht="18" customHeight="1">
      <c r="A26" s="227"/>
      <c r="B26" s="254"/>
      <c r="C26" s="260" t="s">
        <v>73</v>
      </c>
      <c r="N26" s="1182" t="s">
        <v>24</v>
      </c>
      <c r="O26" s="1188"/>
      <c r="P26" s="1188"/>
      <c r="Q26" s="1188"/>
      <c r="R26" s="1188"/>
      <c r="S26" s="1183"/>
      <c r="U26" s="227"/>
      <c r="W26" s="204"/>
      <c r="X26" s="504"/>
    </row>
    <row r="27" spans="1:25" ht="18" customHeight="1">
      <c r="A27" s="227"/>
      <c r="B27" s="307"/>
      <c r="C27" s="308"/>
      <c r="D27" s="308"/>
      <c r="E27" s="308"/>
      <c r="F27" s="308"/>
      <c r="G27" s="308"/>
      <c r="H27" s="308"/>
      <c r="I27" s="308"/>
      <c r="J27" s="308"/>
      <c r="K27" s="308"/>
      <c r="L27" s="308"/>
      <c r="M27" s="308"/>
      <c r="N27" s="309"/>
      <c r="O27" s="309"/>
      <c r="P27" s="309"/>
      <c r="Q27" s="309"/>
      <c r="R27" s="309"/>
      <c r="S27" s="309"/>
      <c r="T27" s="308"/>
      <c r="U27" s="310"/>
      <c r="W27" s="204"/>
      <c r="X27" s="504"/>
    </row>
    <row r="28" spans="1:25" s="285" customFormat="1" ht="20" customHeight="1">
      <c r="A28" s="311"/>
      <c r="B28" s="312"/>
      <c r="C28" s="313" t="s">
        <v>55</v>
      </c>
      <c r="L28" s="314"/>
      <c r="Q28" s="203"/>
      <c r="U28" s="311"/>
      <c r="W28" s="315"/>
      <c r="X28" s="522"/>
      <c r="Y28" s="203"/>
    </row>
    <row r="29" spans="1:25" ht="4" customHeight="1">
      <c r="A29" s="227"/>
      <c r="B29" s="254"/>
      <c r="L29" s="302"/>
      <c r="U29" s="227"/>
      <c r="W29" s="204"/>
      <c r="X29" s="504"/>
    </row>
    <row r="30" spans="1:25" ht="18" customHeight="1">
      <c r="A30" s="227"/>
      <c r="B30" s="254"/>
      <c r="C30" s="316" t="s">
        <v>57</v>
      </c>
      <c r="L30" s="302"/>
      <c r="N30" s="1184"/>
      <c r="O30" s="1185"/>
      <c r="Q30" s="303" t="s">
        <v>69</v>
      </c>
      <c r="U30" s="227"/>
      <c r="W30" s="204"/>
      <c r="X30" s="504"/>
    </row>
    <row r="31" spans="1:25" ht="14" customHeight="1">
      <c r="A31" s="227"/>
      <c r="B31" s="307"/>
      <c r="C31" s="308"/>
      <c r="D31" s="308"/>
      <c r="E31" s="308"/>
      <c r="F31" s="308"/>
      <c r="G31" s="308"/>
      <c r="H31" s="308"/>
      <c r="I31" s="308"/>
      <c r="J31" s="308"/>
      <c r="K31" s="308"/>
      <c r="L31" s="317"/>
      <c r="M31" s="308"/>
      <c r="N31" s="308"/>
      <c r="O31" s="308"/>
      <c r="P31" s="308"/>
      <c r="Q31" s="308"/>
      <c r="R31" s="308"/>
      <c r="S31" s="308"/>
      <c r="T31" s="308"/>
      <c r="U31" s="310"/>
      <c r="W31" s="204"/>
      <c r="X31" s="504"/>
    </row>
    <row r="32" spans="1:25" ht="20" customHeight="1">
      <c r="A32" s="227"/>
      <c r="B32" s="254"/>
      <c r="C32" s="313" t="s">
        <v>159</v>
      </c>
      <c r="L32" s="302"/>
      <c r="U32" s="227"/>
      <c r="W32" s="204"/>
      <c r="X32" s="504"/>
    </row>
    <row r="33" spans="1:24" ht="4" customHeight="1">
      <c r="A33" s="227"/>
      <c r="B33" s="254"/>
      <c r="L33" s="302"/>
      <c r="U33" s="227"/>
      <c r="W33" s="204"/>
      <c r="X33" s="504"/>
    </row>
    <row r="34" spans="1:24" ht="18" customHeight="1">
      <c r="A34" s="227"/>
      <c r="B34" s="254"/>
      <c r="C34" s="316" t="s">
        <v>158</v>
      </c>
      <c r="L34" s="302"/>
      <c r="N34" s="1189"/>
      <c r="O34" s="1190"/>
      <c r="Q34" s="303" t="s">
        <v>69</v>
      </c>
      <c r="U34" s="227"/>
      <c r="W34" s="204"/>
      <c r="X34" s="504"/>
    </row>
    <row r="35" spans="1:24" ht="14" customHeight="1">
      <c r="A35" s="227"/>
      <c r="B35" s="254"/>
      <c r="L35" s="302"/>
      <c r="U35" s="227"/>
      <c r="W35" s="204"/>
      <c r="X35" s="504"/>
    </row>
    <row r="36" spans="1:24" ht="14" customHeight="1">
      <c r="A36" s="227"/>
      <c r="B36" s="254"/>
      <c r="C36" s="318" t="s">
        <v>58</v>
      </c>
      <c r="L36" s="302"/>
      <c r="U36" s="227"/>
      <c r="W36" s="204"/>
      <c r="X36" s="504"/>
    </row>
    <row r="37" spans="1:24" ht="4" customHeight="1">
      <c r="A37" s="227"/>
      <c r="B37" s="254"/>
      <c r="L37" s="302"/>
      <c r="U37" s="227"/>
      <c r="W37" s="204"/>
      <c r="X37" s="504"/>
    </row>
    <row r="38" spans="1:24" ht="18" customHeight="1">
      <c r="A38" s="227"/>
      <c r="B38" s="254"/>
      <c r="C38" s="316" t="s">
        <v>283</v>
      </c>
      <c r="L38" s="302"/>
      <c r="N38" s="1184"/>
      <c r="O38" s="1185"/>
      <c r="Q38" s="303" t="s">
        <v>66</v>
      </c>
      <c r="R38" s="303" t="s">
        <v>70</v>
      </c>
      <c r="U38" s="227"/>
      <c r="W38" s="204"/>
      <c r="X38" s="504"/>
    </row>
    <row r="39" spans="1:24" ht="4" customHeight="1">
      <c r="A39" s="227"/>
      <c r="B39" s="254"/>
      <c r="L39" s="302"/>
      <c r="Q39" s="301"/>
      <c r="R39" s="301"/>
      <c r="U39" s="227"/>
      <c r="W39" s="204"/>
      <c r="X39" s="504"/>
    </row>
    <row r="40" spans="1:24" ht="18" customHeight="1">
      <c r="A40" s="227"/>
      <c r="B40" s="254"/>
      <c r="C40" s="316" t="s">
        <v>59</v>
      </c>
      <c r="L40" s="302"/>
      <c r="N40" s="1191"/>
      <c r="O40" s="1192"/>
      <c r="P40" s="319" t="s">
        <v>11</v>
      </c>
      <c r="Q40" s="303" t="s">
        <v>66</v>
      </c>
      <c r="R40" s="303" t="s">
        <v>70</v>
      </c>
      <c r="U40" s="227"/>
      <c r="W40" s="204"/>
      <c r="X40" s="504"/>
    </row>
    <row r="41" spans="1:24" ht="14" customHeight="1">
      <c r="A41" s="227"/>
      <c r="B41" s="307"/>
      <c r="C41" s="308"/>
      <c r="D41" s="308"/>
      <c r="E41" s="308"/>
      <c r="F41" s="308"/>
      <c r="G41" s="308"/>
      <c r="H41" s="308"/>
      <c r="I41" s="308"/>
      <c r="J41" s="308"/>
      <c r="K41" s="308"/>
      <c r="L41" s="317"/>
      <c r="M41" s="308"/>
      <c r="N41" s="308"/>
      <c r="O41" s="308"/>
      <c r="P41" s="308"/>
      <c r="Q41" s="308"/>
      <c r="R41" s="308"/>
      <c r="S41" s="308"/>
      <c r="T41" s="308"/>
      <c r="U41" s="310"/>
      <c r="W41" s="204"/>
      <c r="X41" s="504"/>
    </row>
    <row r="42" spans="1:24" ht="20" customHeight="1">
      <c r="A42" s="227"/>
      <c r="B42" s="254"/>
      <c r="C42" s="313" t="s">
        <v>60</v>
      </c>
      <c r="L42" s="320"/>
      <c r="U42" s="227"/>
      <c r="W42" s="204"/>
      <c r="X42" s="504"/>
    </row>
    <row r="43" spans="1:24" ht="4" customHeight="1">
      <c r="A43" s="227"/>
      <c r="B43" s="254"/>
      <c r="L43" s="302"/>
      <c r="U43" s="227"/>
      <c r="W43" s="204"/>
      <c r="X43" s="504"/>
    </row>
    <row r="44" spans="1:24" ht="18" customHeight="1">
      <c r="A44" s="227"/>
      <c r="B44" s="254"/>
      <c r="C44" s="316" t="s">
        <v>272</v>
      </c>
      <c r="L44" s="302"/>
      <c r="N44" s="1184"/>
      <c r="O44" s="1185"/>
      <c r="Q44" s="303" t="s">
        <v>69</v>
      </c>
      <c r="U44" s="227"/>
      <c r="W44" s="204"/>
      <c r="X44" s="504"/>
    </row>
    <row r="45" spans="1:24" ht="4" customHeight="1">
      <c r="A45" s="227"/>
      <c r="B45" s="254"/>
      <c r="L45" s="302"/>
      <c r="U45" s="227"/>
      <c r="W45" s="204"/>
      <c r="X45" s="504"/>
    </row>
    <row r="46" spans="1:24" ht="18" customHeight="1">
      <c r="A46" s="227"/>
      <c r="B46" s="254"/>
      <c r="C46" s="316" t="s">
        <v>61</v>
      </c>
      <c r="L46" s="302"/>
      <c r="N46" s="1189"/>
      <c r="O46" s="1190"/>
      <c r="Q46" s="303" t="s">
        <v>69</v>
      </c>
      <c r="U46" s="227"/>
      <c r="W46" s="204"/>
      <c r="X46" s="504"/>
    </row>
    <row r="47" spans="1:24" ht="14" customHeight="1">
      <c r="A47" s="227"/>
      <c r="B47" s="254"/>
      <c r="L47" s="302"/>
      <c r="U47" s="227"/>
      <c r="W47" s="204"/>
      <c r="X47" s="504"/>
    </row>
    <row r="48" spans="1:24" ht="18" customHeight="1">
      <c r="A48" s="227"/>
      <c r="B48" s="254"/>
      <c r="C48" s="318" t="s">
        <v>58</v>
      </c>
      <c r="L48" s="302"/>
      <c r="U48" s="227"/>
      <c r="W48" s="204"/>
      <c r="X48" s="504"/>
    </row>
    <row r="49" spans="1:24" ht="4" customHeight="1">
      <c r="A49" s="227"/>
      <c r="B49" s="254"/>
      <c r="L49" s="302"/>
      <c r="U49" s="227"/>
      <c r="W49" s="204"/>
      <c r="X49" s="504"/>
    </row>
    <row r="50" spans="1:24" ht="18" customHeight="1">
      <c r="A50" s="227"/>
      <c r="B50" s="254"/>
      <c r="C50" s="316" t="s">
        <v>273</v>
      </c>
      <c r="L50" s="302"/>
      <c r="N50" s="1184"/>
      <c r="O50" s="1185"/>
      <c r="Q50" s="303" t="s">
        <v>66</v>
      </c>
      <c r="R50" s="303" t="s">
        <v>70</v>
      </c>
      <c r="U50" s="227"/>
      <c r="W50" s="204"/>
      <c r="X50" s="504"/>
    </row>
    <row r="51" spans="1:24" ht="4" customHeight="1">
      <c r="A51" s="227"/>
      <c r="B51" s="254"/>
      <c r="L51" s="302"/>
      <c r="Q51" s="301"/>
      <c r="R51" s="301"/>
      <c r="U51" s="227"/>
      <c r="W51" s="204"/>
      <c r="X51" s="504"/>
    </row>
    <row r="52" spans="1:24" ht="18" customHeight="1">
      <c r="A52" s="227"/>
      <c r="B52" s="254"/>
      <c r="C52" s="316" t="s">
        <v>274</v>
      </c>
      <c r="L52" s="302"/>
      <c r="N52" s="1191"/>
      <c r="O52" s="1192"/>
      <c r="P52" s="319" t="s">
        <v>11</v>
      </c>
      <c r="Q52" s="303" t="s">
        <v>66</v>
      </c>
      <c r="R52" s="303" t="s">
        <v>70</v>
      </c>
      <c r="U52" s="227"/>
      <c r="W52" s="204"/>
      <c r="X52" s="504"/>
    </row>
    <row r="53" spans="1:24" ht="14" customHeight="1">
      <c r="A53" s="227"/>
      <c r="B53" s="254"/>
      <c r="L53" s="302"/>
      <c r="U53" s="227"/>
      <c r="W53" s="204"/>
      <c r="X53" s="504"/>
    </row>
    <row r="54" spans="1:24" ht="20" customHeight="1">
      <c r="A54" s="227"/>
      <c r="B54" s="254"/>
      <c r="C54" s="313" t="s">
        <v>295</v>
      </c>
      <c r="L54" s="302"/>
      <c r="U54" s="227"/>
      <c r="W54" s="204"/>
      <c r="X54" s="504"/>
    </row>
    <row r="55" spans="1:24" ht="4" customHeight="1">
      <c r="A55" s="227"/>
      <c r="B55" s="254"/>
      <c r="L55" s="302"/>
      <c r="U55" s="227"/>
      <c r="W55" s="204"/>
      <c r="X55" s="504"/>
    </row>
    <row r="56" spans="1:24" ht="18" customHeight="1">
      <c r="A56" s="227"/>
      <c r="B56" s="254"/>
      <c r="C56" s="316" t="s">
        <v>154</v>
      </c>
      <c r="L56" s="302"/>
      <c r="N56" s="1182" t="s">
        <v>82</v>
      </c>
      <c r="O56" s="1188"/>
      <c r="P56" s="1183"/>
      <c r="Q56" s="680" t="s">
        <v>74</v>
      </c>
      <c r="U56" s="227"/>
      <c r="W56" s="204"/>
      <c r="X56" s="504"/>
    </row>
    <row r="57" spans="1:24" ht="18" customHeight="1">
      <c r="A57" s="227"/>
      <c r="B57" s="254"/>
      <c r="C57" s="394" t="s">
        <v>297</v>
      </c>
      <c r="L57" s="302"/>
      <c r="Q57" s="680"/>
      <c r="U57" s="227"/>
      <c r="W57" s="204"/>
      <c r="X57" s="504"/>
    </row>
    <row r="58" spans="1:24" ht="14" customHeight="1">
      <c r="A58" s="227"/>
      <c r="B58" s="307"/>
      <c r="C58" s="308"/>
      <c r="D58" s="308"/>
      <c r="E58" s="308"/>
      <c r="F58" s="308"/>
      <c r="G58" s="308"/>
      <c r="H58" s="308"/>
      <c r="I58" s="308"/>
      <c r="J58" s="308"/>
      <c r="K58" s="308"/>
      <c r="L58" s="317"/>
      <c r="M58" s="308"/>
      <c r="N58" s="308"/>
      <c r="O58" s="308"/>
      <c r="P58" s="308"/>
      <c r="Q58" s="308"/>
      <c r="R58" s="308"/>
      <c r="S58" s="308"/>
      <c r="T58" s="308"/>
      <c r="U58" s="310"/>
      <c r="W58" s="204"/>
      <c r="X58" s="504"/>
    </row>
    <row r="59" spans="1:24" ht="20" customHeight="1">
      <c r="A59" s="227"/>
      <c r="B59" s="254"/>
      <c r="C59" s="313" t="s">
        <v>16</v>
      </c>
      <c r="M59" s="321"/>
      <c r="U59" s="227"/>
      <c r="W59" s="204"/>
      <c r="X59" s="504"/>
    </row>
    <row r="60" spans="1:24" ht="4" customHeight="1">
      <c r="A60" s="227"/>
      <c r="B60" s="254"/>
      <c r="L60" s="302"/>
      <c r="U60" s="227"/>
      <c r="W60" s="204"/>
      <c r="X60" s="504"/>
    </row>
    <row r="61" spans="1:24" ht="18" customHeight="1">
      <c r="A61" s="227"/>
      <c r="B61" s="254"/>
      <c r="C61" s="319" t="s">
        <v>68</v>
      </c>
      <c r="L61" s="302"/>
      <c r="N61" s="1191"/>
      <c r="O61" s="1192"/>
      <c r="P61" s="319" t="s">
        <v>11</v>
      </c>
      <c r="Q61" s="303" t="s">
        <v>69</v>
      </c>
      <c r="U61" s="227"/>
      <c r="W61" s="204"/>
      <c r="X61" s="504"/>
    </row>
    <row r="62" spans="1:24" ht="14" customHeight="1" thickBot="1">
      <c r="A62" s="227"/>
      <c r="B62" s="255"/>
      <c r="C62" s="240"/>
      <c r="D62" s="240"/>
      <c r="E62" s="240"/>
      <c r="F62" s="240"/>
      <c r="G62" s="240"/>
      <c r="H62" s="240"/>
      <c r="I62" s="240"/>
      <c r="J62" s="240"/>
      <c r="K62" s="240"/>
      <c r="L62" s="322"/>
      <c r="M62" s="240"/>
      <c r="N62" s="240"/>
      <c r="O62" s="240"/>
      <c r="P62" s="240"/>
      <c r="Q62" s="240"/>
      <c r="R62" s="240"/>
      <c r="S62" s="240"/>
      <c r="T62" s="240"/>
      <c r="U62" s="241"/>
      <c r="W62" s="204"/>
      <c r="X62" s="504"/>
    </row>
    <row r="63" spans="1:24" ht="18" customHeight="1" thickBot="1">
      <c r="W63" s="204"/>
      <c r="X63" s="504"/>
    </row>
    <row r="64" spans="1:24" ht="32" customHeight="1">
      <c r="B64" s="256"/>
      <c r="C64" s="257" t="s">
        <v>742</v>
      </c>
      <c r="D64" s="258"/>
      <c r="E64" s="258"/>
      <c r="F64" s="258"/>
      <c r="G64" s="258"/>
      <c r="H64" s="258"/>
      <c r="I64" s="258"/>
      <c r="J64" s="258"/>
      <c r="K64" s="258"/>
      <c r="L64" s="258"/>
      <c r="M64" s="258"/>
      <c r="N64" s="258"/>
      <c r="O64" s="258"/>
      <c r="P64" s="258"/>
      <c r="Q64" s="258"/>
      <c r="R64" s="258"/>
      <c r="S64" s="258"/>
      <c r="T64" s="258"/>
      <c r="U64" s="259"/>
      <c r="W64" s="204"/>
      <c r="X64" s="504"/>
    </row>
    <row r="65" spans="1:24" ht="14" customHeight="1">
      <c r="B65" s="245"/>
      <c r="C65" s="202"/>
      <c r="D65" s="202"/>
      <c r="E65" s="202"/>
      <c r="F65" s="202"/>
      <c r="G65" s="202"/>
      <c r="H65" s="202"/>
      <c r="I65" s="202"/>
      <c r="J65" s="202"/>
      <c r="K65" s="202"/>
      <c r="L65" s="202"/>
      <c r="M65" s="202"/>
      <c r="N65" s="202"/>
      <c r="O65" s="202"/>
      <c r="P65" s="202"/>
      <c r="Q65" s="202"/>
      <c r="R65" s="202"/>
      <c r="S65" s="202"/>
      <c r="T65" s="202"/>
      <c r="U65" s="246"/>
      <c r="W65" s="204"/>
      <c r="X65" s="504"/>
    </row>
    <row r="66" spans="1:24" ht="18" customHeight="1">
      <c r="B66" s="245"/>
      <c r="C66" s="202" t="s">
        <v>743</v>
      </c>
      <c r="D66" s="202"/>
      <c r="E66" s="202"/>
      <c r="F66" s="202"/>
      <c r="G66" s="202"/>
      <c r="H66" s="202"/>
      <c r="I66" s="202"/>
      <c r="J66" s="202"/>
      <c r="K66" s="202"/>
      <c r="L66" s="202"/>
      <c r="M66" s="202"/>
      <c r="N66" s="202"/>
      <c r="O66" s="202"/>
      <c r="P66" s="202"/>
      <c r="Q66" s="202"/>
      <c r="R66" s="202"/>
      <c r="S66" s="202"/>
      <c r="T66" s="202"/>
      <c r="U66" s="246"/>
      <c r="W66" s="204"/>
      <c r="X66" s="504"/>
    </row>
    <row r="67" spans="1:24" ht="18" customHeight="1">
      <c r="B67" s="245"/>
      <c r="C67" s="202" t="s">
        <v>208</v>
      </c>
      <c r="D67" s="202"/>
      <c r="E67" s="202"/>
      <c r="F67" s="202"/>
      <c r="G67" s="202"/>
      <c r="H67" s="202"/>
      <c r="I67" s="202"/>
      <c r="J67" s="202"/>
      <c r="K67" s="202"/>
      <c r="L67" s="202"/>
      <c r="M67" s="202"/>
      <c r="N67" s="202"/>
      <c r="O67" s="202"/>
      <c r="P67" s="202"/>
      <c r="Q67" s="202"/>
      <c r="R67" s="202"/>
      <c r="S67" s="202"/>
      <c r="T67" s="202"/>
      <c r="U67" s="246"/>
      <c r="W67" s="204"/>
      <c r="X67" s="504"/>
    </row>
    <row r="68" spans="1:24" ht="6" customHeight="1">
      <c r="B68" s="245"/>
      <c r="C68" s="202"/>
      <c r="D68" s="202"/>
      <c r="E68" s="202"/>
      <c r="F68" s="202"/>
      <c r="G68" s="202"/>
      <c r="H68" s="202"/>
      <c r="I68" s="202"/>
      <c r="J68" s="202"/>
      <c r="K68" s="202"/>
      <c r="L68" s="202"/>
      <c r="M68" s="202"/>
      <c r="N68" s="202"/>
      <c r="O68" s="202"/>
      <c r="P68" s="202"/>
      <c r="Q68" s="202"/>
      <c r="R68" s="202"/>
      <c r="S68" s="202"/>
      <c r="T68" s="202"/>
      <c r="U68" s="246"/>
      <c r="W68" s="204"/>
      <c r="X68" s="504"/>
    </row>
    <row r="69" spans="1:24" ht="18" customHeight="1">
      <c r="B69" s="245"/>
      <c r="C69" s="202" t="s">
        <v>744</v>
      </c>
      <c r="D69" s="202"/>
      <c r="E69" s="202"/>
      <c r="F69" s="202"/>
      <c r="G69" s="202"/>
      <c r="H69" s="202"/>
      <c r="I69" s="202"/>
      <c r="J69" s="202"/>
      <c r="K69" s="202"/>
      <c r="L69" s="202"/>
      <c r="M69" s="202"/>
      <c r="N69" s="202"/>
      <c r="O69" s="202"/>
      <c r="P69" s="202"/>
      <c r="Q69" s="202"/>
      <c r="R69" s="202"/>
      <c r="S69" s="202"/>
      <c r="T69" s="202"/>
      <c r="U69" s="246"/>
      <c r="W69" s="204"/>
      <c r="X69" s="504"/>
    </row>
    <row r="70" spans="1:24" ht="18" customHeight="1">
      <c r="B70" s="245"/>
      <c r="C70" s="202" t="s">
        <v>745</v>
      </c>
      <c r="D70" s="202"/>
      <c r="E70" s="202"/>
      <c r="F70" s="202"/>
      <c r="G70" s="202"/>
      <c r="H70" s="202"/>
      <c r="I70" s="202"/>
      <c r="J70" s="202"/>
      <c r="K70" s="202"/>
      <c r="L70" s="202"/>
      <c r="M70" s="202"/>
      <c r="N70" s="202"/>
      <c r="O70" s="202"/>
      <c r="P70" s="202"/>
      <c r="Q70" s="202"/>
      <c r="R70" s="202"/>
      <c r="S70" s="202"/>
      <c r="T70" s="202"/>
      <c r="U70" s="246"/>
      <c r="W70" s="204"/>
      <c r="X70" s="504"/>
    </row>
    <row r="71" spans="1:24" ht="6" customHeight="1">
      <c r="B71" s="245"/>
      <c r="C71" s="202"/>
      <c r="D71" s="202"/>
      <c r="E71" s="202"/>
      <c r="F71" s="202"/>
      <c r="G71" s="202"/>
      <c r="H71" s="202"/>
      <c r="I71" s="202"/>
      <c r="J71" s="202"/>
      <c r="K71" s="202"/>
      <c r="L71" s="202"/>
      <c r="M71" s="202"/>
      <c r="N71" s="202"/>
      <c r="O71" s="202"/>
      <c r="P71" s="202"/>
      <c r="Q71" s="202"/>
      <c r="R71" s="202"/>
      <c r="S71" s="202"/>
      <c r="T71" s="202"/>
      <c r="U71" s="246"/>
      <c r="W71" s="204"/>
      <c r="X71" s="504"/>
    </row>
    <row r="72" spans="1:24" ht="18" customHeight="1">
      <c r="B72" s="245"/>
      <c r="C72" s="202" t="s">
        <v>746</v>
      </c>
      <c r="D72" s="202"/>
      <c r="E72" s="202"/>
      <c r="F72" s="202"/>
      <c r="G72" s="202"/>
      <c r="H72" s="202"/>
      <c r="I72" s="202"/>
      <c r="J72" s="202"/>
      <c r="K72" s="202"/>
      <c r="L72" s="202"/>
      <c r="M72" s="202"/>
      <c r="N72" s="202"/>
      <c r="O72" s="202"/>
      <c r="P72" s="202"/>
      <c r="Q72" s="202"/>
      <c r="R72" s="202"/>
      <c r="S72" s="202"/>
      <c r="T72" s="202"/>
      <c r="U72" s="246"/>
      <c r="W72" s="204"/>
      <c r="X72" s="504"/>
    </row>
    <row r="73" spans="1:24" ht="14" customHeight="1">
      <c r="B73" s="245"/>
      <c r="C73" s="202"/>
      <c r="D73" s="202"/>
      <c r="E73" s="202"/>
      <c r="F73" s="202"/>
      <c r="G73" s="202"/>
      <c r="H73" s="202"/>
      <c r="I73" s="202"/>
      <c r="J73" s="202"/>
      <c r="K73" s="202"/>
      <c r="L73" s="202"/>
      <c r="M73" s="202"/>
      <c r="N73" s="202"/>
      <c r="O73" s="202"/>
      <c r="P73" s="202"/>
      <c r="Q73" s="202"/>
      <c r="R73" s="202"/>
      <c r="S73" s="202"/>
      <c r="T73" s="202"/>
      <c r="U73" s="246"/>
      <c r="W73" s="204"/>
      <c r="X73" s="504"/>
    </row>
    <row r="74" spans="1:24" ht="18" customHeight="1">
      <c r="B74" s="245"/>
      <c r="C74" s="323" t="s">
        <v>747</v>
      </c>
      <c r="D74" s="202"/>
      <c r="E74" s="202"/>
      <c r="F74" s="202"/>
      <c r="G74" s="202"/>
      <c r="H74" s="202"/>
      <c r="I74" s="202"/>
      <c r="J74" s="202"/>
      <c r="K74" s="202"/>
      <c r="L74" s="202"/>
      <c r="M74" s="202"/>
      <c r="N74" s="202"/>
      <c r="O74" s="202"/>
      <c r="P74" s="202"/>
      <c r="Q74" s="202"/>
      <c r="R74" s="202"/>
      <c r="S74" s="202"/>
      <c r="T74" s="202"/>
      <c r="U74" s="246"/>
      <c r="W74" s="204"/>
      <c r="X74" s="504"/>
    </row>
    <row r="75" spans="1:24" ht="6" customHeight="1">
      <c r="B75" s="245"/>
      <c r="C75" s="202"/>
      <c r="D75" s="202"/>
      <c r="E75" s="202"/>
      <c r="F75" s="202"/>
      <c r="G75" s="202"/>
      <c r="H75" s="202"/>
      <c r="I75" s="202"/>
      <c r="J75" s="202"/>
      <c r="K75" s="202"/>
      <c r="L75" s="202"/>
      <c r="M75" s="202"/>
      <c r="N75" s="202"/>
      <c r="O75" s="202"/>
      <c r="P75" s="202"/>
      <c r="Q75" s="202"/>
      <c r="R75" s="202"/>
      <c r="S75" s="202"/>
      <c r="T75" s="202"/>
      <c r="U75" s="246"/>
      <c r="W75" s="204"/>
      <c r="X75" s="504"/>
    </row>
    <row r="76" spans="1:24" ht="18" customHeight="1">
      <c r="B76" s="245"/>
      <c r="C76" s="202" t="s">
        <v>276</v>
      </c>
      <c r="D76" s="202"/>
      <c r="E76" s="202"/>
      <c r="F76" s="202"/>
      <c r="G76" s="202"/>
      <c r="H76" s="202"/>
      <c r="I76" s="202"/>
      <c r="J76" s="202"/>
      <c r="K76" s="202"/>
      <c r="L76" s="202"/>
      <c r="M76" s="202"/>
      <c r="N76" s="202"/>
      <c r="O76" s="202"/>
      <c r="P76" s="202"/>
      <c r="Q76" s="202"/>
      <c r="R76" s="202"/>
      <c r="S76" s="202"/>
      <c r="T76" s="202"/>
      <c r="U76" s="246"/>
      <c r="W76" s="204"/>
      <c r="X76" s="504"/>
    </row>
    <row r="77" spans="1:24" ht="18" customHeight="1">
      <c r="A77" s="227"/>
      <c r="B77" s="245"/>
      <c r="C77" s="202" t="s">
        <v>275</v>
      </c>
      <c r="D77" s="202"/>
      <c r="E77" s="202"/>
      <c r="F77" s="202"/>
      <c r="G77" s="202"/>
      <c r="H77" s="202"/>
      <c r="I77" s="202"/>
      <c r="J77" s="202"/>
      <c r="K77" s="202"/>
      <c r="L77" s="202"/>
      <c r="M77" s="202"/>
      <c r="N77" s="202"/>
      <c r="O77" s="202"/>
      <c r="P77" s="202"/>
      <c r="Q77" s="202"/>
      <c r="R77" s="202"/>
      <c r="S77" s="202"/>
      <c r="T77" s="202"/>
      <c r="U77" s="246"/>
      <c r="W77" s="204"/>
      <c r="X77" s="504"/>
    </row>
    <row r="78" spans="1:24" ht="18" customHeight="1">
      <c r="A78" s="227"/>
      <c r="B78" s="245"/>
      <c r="C78" s="202" t="s">
        <v>748</v>
      </c>
      <c r="D78" s="202"/>
      <c r="E78" s="202"/>
      <c r="F78" s="202"/>
      <c r="G78" s="202"/>
      <c r="H78" s="202"/>
      <c r="I78" s="202"/>
      <c r="J78" s="202"/>
      <c r="K78" s="202"/>
      <c r="L78" s="202"/>
      <c r="M78" s="202"/>
      <c r="N78" s="202"/>
      <c r="O78" s="202"/>
      <c r="P78" s="202"/>
      <c r="Q78" s="202"/>
      <c r="R78" s="202"/>
      <c r="S78" s="202"/>
      <c r="T78" s="202"/>
      <c r="U78" s="246"/>
      <c r="W78" s="204"/>
      <c r="X78" s="504"/>
    </row>
    <row r="79" spans="1:24" ht="6" customHeight="1">
      <c r="A79" s="227"/>
      <c r="B79" s="245"/>
      <c r="C79" s="202"/>
      <c r="D79" s="202"/>
      <c r="E79" s="202"/>
      <c r="F79" s="202"/>
      <c r="G79" s="202"/>
      <c r="H79" s="202"/>
      <c r="I79" s="202"/>
      <c r="J79" s="202"/>
      <c r="K79" s="202"/>
      <c r="L79" s="202"/>
      <c r="M79" s="202"/>
      <c r="N79" s="202"/>
      <c r="O79" s="202"/>
      <c r="P79" s="202"/>
      <c r="Q79" s="202"/>
      <c r="R79" s="202"/>
      <c r="S79" s="202"/>
      <c r="T79" s="202"/>
      <c r="U79" s="246"/>
      <c r="W79" s="204"/>
      <c r="X79" s="504"/>
    </row>
    <row r="80" spans="1:24" ht="18" customHeight="1">
      <c r="A80" s="227"/>
      <c r="B80" s="245"/>
      <c r="C80" s="202" t="s">
        <v>749</v>
      </c>
      <c r="D80" s="202"/>
      <c r="E80" s="202"/>
      <c r="F80" s="202"/>
      <c r="G80" s="202"/>
      <c r="H80" s="202"/>
      <c r="I80" s="202"/>
      <c r="J80" s="202"/>
      <c r="K80" s="202"/>
      <c r="L80" s="202"/>
      <c r="M80" s="202"/>
      <c r="N80" s="202"/>
      <c r="O80" s="202"/>
      <c r="P80" s="202"/>
      <c r="Q80" s="202"/>
      <c r="R80" s="202"/>
      <c r="S80" s="202"/>
      <c r="T80" s="202"/>
      <c r="U80" s="246"/>
      <c r="W80" s="204"/>
      <c r="X80" s="504"/>
    </row>
    <row r="81" spans="1:24" ht="6" customHeight="1">
      <c r="A81" s="227"/>
      <c r="B81" s="245"/>
      <c r="C81" s="202"/>
      <c r="D81" s="202"/>
      <c r="E81" s="202"/>
      <c r="F81" s="202"/>
      <c r="G81" s="202"/>
      <c r="H81" s="202"/>
      <c r="I81" s="202"/>
      <c r="J81" s="202"/>
      <c r="K81" s="202"/>
      <c r="L81" s="202"/>
      <c r="M81" s="202"/>
      <c r="N81" s="202"/>
      <c r="O81" s="202"/>
      <c r="P81" s="202"/>
      <c r="Q81" s="202"/>
      <c r="R81" s="202"/>
      <c r="S81" s="202"/>
      <c r="T81" s="202"/>
      <c r="U81" s="246"/>
      <c r="W81" s="204"/>
      <c r="X81" s="504"/>
    </row>
    <row r="82" spans="1:24" ht="18" customHeight="1">
      <c r="A82" s="227"/>
      <c r="B82" s="245"/>
      <c r="C82" s="202" t="s">
        <v>750</v>
      </c>
      <c r="D82" s="202"/>
      <c r="E82" s="202"/>
      <c r="F82" s="202"/>
      <c r="G82" s="202"/>
      <c r="H82" s="202"/>
      <c r="I82" s="202"/>
      <c r="J82" s="202"/>
      <c r="K82" s="202"/>
      <c r="L82" s="202"/>
      <c r="M82" s="202"/>
      <c r="N82" s="202"/>
      <c r="O82" s="202"/>
      <c r="P82" s="202"/>
      <c r="Q82" s="202"/>
      <c r="R82" s="202"/>
      <c r="S82" s="202"/>
      <c r="T82" s="202"/>
      <c r="U82" s="246"/>
      <c r="W82" s="204"/>
      <c r="X82" s="504"/>
    </row>
    <row r="83" spans="1:24" ht="6" customHeight="1">
      <c r="A83" s="227"/>
      <c r="B83" s="245"/>
      <c r="C83" s="202"/>
      <c r="D83" s="202"/>
      <c r="E83" s="202"/>
      <c r="F83" s="202"/>
      <c r="G83" s="202"/>
      <c r="H83" s="202"/>
      <c r="I83" s="202"/>
      <c r="J83" s="202"/>
      <c r="K83" s="202"/>
      <c r="L83" s="202"/>
      <c r="M83" s="202"/>
      <c r="N83" s="202"/>
      <c r="O83" s="202"/>
      <c r="P83" s="202"/>
      <c r="Q83" s="202"/>
      <c r="R83" s="202"/>
      <c r="S83" s="202"/>
      <c r="T83" s="202"/>
      <c r="U83" s="246"/>
      <c r="W83" s="204"/>
      <c r="X83" s="504"/>
    </row>
    <row r="84" spans="1:24" ht="18" customHeight="1">
      <c r="A84" s="227"/>
      <c r="B84" s="245"/>
      <c r="C84" s="202" t="s">
        <v>751</v>
      </c>
      <c r="D84" s="202"/>
      <c r="E84" s="202"/>
      <c r="F84" s="202"/>
      <c r="G84" s="202"/>
      <c r="H84" s="202"/>
      <c r="I84" s="202"/>
      <c r="J84" s="202"/>
      <c r="K84" s="202"/>
      <c r="L84" s="202"/>
      <c r="M84" s="202"/>
      <c r="N84" s="202"/>
      <c r="O84" s="202"/>
      <c r="P84" s="202"/>
      <c r="Q84" s="202"/>
      <c r="R84" s="202"/>
      <c r="S84" s="202"/>
      <c r="T84" s="202"/>
      <c r="U84" s="246"/>
      <c r="W84" s="204"/>
      <c r="X84" s="504"/>
    </row>
    <row r="85" spans="1:24" ht="14" customHeight="1">
      <c r="B85" s="292"/>
      <c r="C85" s="294"/>
      <c r="D85" s="294"/>
      <c r="E85" s="294"/>
      <c r="F85" s="294"/>
      <c r="G85" s="294"/>
      <c r="H85" s="294"/>
      <c r="I85" s="294"/>
      <c r="J85" s="294"/>
      <c r="K85" s="294"/>
      <c r="L85" s="294"/>
      <c r="M85" s="294"/>
      <c r="N85" s="294"/>
      <c r="O85" s="294"/>
      <c r="P85" s="294"/>
      <c r="Q85" s="294"/>
      <c r="R85" s="294"/>
      <c r="S85" s="294"/>
      <c r="T85" s="294"/>
      <c r="U85" s="295"/>
      <c r="W85" s="204"/>
      <c r="X85" s="504"/>
    </row>
    <row r="86" spans="1:24" ht="24" customHeight="1">
      <c r="A86" s="227"/>
      <c r="B86" s="290"/>
      <c r="C86" s="234" t="s">
        <v>752</v>
      </c>
      <c r="D86" s="272"/>
      <c r="E86" s="272"/>
      <c r="F86" s="272"/>
      <c r="G86" s="272"/>
      <c r="H86" s="272"/>
      <c r="I86" s="272"/>
      <c r="J86" s="272"/>
      <c r="K86" s="272"/>
      <c r="L86" s="272"/>
      <c r="M86" s="272"/>
      <c r="N86" s="272"/>
      <c r="O86" s="272"/>
      <c r="P86" s="272"/>
      <c r="Q86" s="272"/>
      <c r="R86" s="272"/>
      <c r="S86" s="272"/>
      <c r="T86" s="272"/>
      <c r="U86" s="235"/>
      <c r="W86" s="204"/>
      <c r="X86" s="504"/>
    </row>
    <row r="87" spans="1:24" ht="14" customHeight="1">
      <c r="A87" s="227"/>
      <c r="B87" s="254"/>
      <c r="L87" s="302"/>
      <c r="M87" s="1186" t="s">
        <v>178</v>
      </c>
      <c r="N87" s="1193" t="s">
        <v>241</v>
      </c>
      <c r="O87" s="1194"/>
      <c r="P87" s="1194"/>
      <c r="Q87" s="1194"/>
      <c r="R87" s="1194"/>
      <c r="S87" s="1194"/>
      <c r="T87" s="1194"/>
      <c r="U87" s="1195"/>
      <c r="W87" s="204"/>
      <c r="X87" s="504"/>
    </row>
    <row r="88" spans="1:24" ht="18" customHeight="1">
      <c r="A88" s="227"/>
      <c r="B88" s="254"/>
      <c r="C88" s="203" t="s">
        <v>203</v>
      </c>
      <c r="L88" s="302"/>
      <c r="M88" s="1187"/>
      <c r="N88" s="1194"/>
      <c r="O88" s="1194"/>
      <c r="P88" s="1194"/>
      <c r="Q88" s="1194"/>
      <c r="R88" s="1194"/>
      <c r="S88" s="1194"/>
      <c r="T88" s="1194"/>
      <c r="U88" s="1195"/>
      <c r="W88" s="204"/>
      <c r="X88" s="504"/>
    </row>
    <row r="89" spans="1:24" ht="18" customHeight="1">
      <c r="A89" s="227"/>
      <c r="B89" s="254"/>
      <c r="C89" s="203" t="s">
        <v>204</v>
      </c>
      <c r="L89" s="302"/>
      <c r="N89" s="1182" t="s">
        <v>774</v>
      </c>
      <c r="O89" s="1183"/>
      <c r="P89" s="680" t="s">
        <v>74</v>
      </c>
      <c r="U89" s="227"/>
      <c r="W89" s="204"/>
      <c r="X89" s="504"/>
    </row>
    <row r="90" spans="1:24" ht="14" customHeight="1">
      <c r="A90" s="227"/>
      <c r="B90" s="236"/>
      <c r="C90" s="237"/>
      <c r="D90" s="237"/>
      <c r="E90" s="237"/>
      <c r="F90" s="237"/>
      <c r="G90" s="237"/>
      <c r="H90" s="237"/>
      <c r="I90" s="237"/>
      <c r="J90" s="237"/>
      <c r="K90" s="237"/>
      <c r="L90" s="304"/>
      <c r="M90" s="237"/>
      <c r="N90" s="237"/>
      <c r="O90" s="237"/>
      <c r="P90" s="237"/>
      <c r="Q90" s="237"/>
      <c r="R90" s="237"/>
      <c r="S90" s="237"/>
      <c r="T90" s="237"/>
      <c r="U90" s="239"/>
      <c r="W90" s="204"/>
      <c r="X90" s="504"/>
    </row>
    <row r="91" spans="1:24" ht="24" customHeight="1">
      <c r="A91" s="227"/>
      <c r="B91" s="290"/>
      <c r="C91" s="234" t="s">
        <v>67</v>
      </c>
      <c r="D91" s="272"/>
      <c r="E91" s="272"/>
      <c r="F91" s="272"/>
      <c r="G91" s="272"/>
      <c r="H91" s="272"/>
      <c r="I91" s="272"/>
      <c r="J91" s="272"/>
      <c r="K91" s="272"/>
      <c r="L91" s="272"/>
      <c r="M91" s="272"/>
      <c r="N91" s="272"/>
      <c r="O91" s="272"/>
      <c r="P91" s="272"/>
      <c r="Q91" s="272"/>
      <c r="R91" s="272"/>
      <c r="S91" s="272"/>
      <c r="T91" s="272"/>
      <c r="U91" s="235"/>
      <c r="W91" s="204"/>
      <c r="X91" s="504"/>
    </row>
    <row r="92" spans="1:24" ht="14" customHeight="1">
      <c r="A92" s="227"/>
      <c r="B92" s="254"/>
      <c r="L92" s="302"/>
      <c r="U92" s="227"/>
      <c r="W92" s="204"/>
      <c r="X92" s="504"/>
    </row>
    <row r="93" spans="1:24" ht="18" customHeight="1">
      <c r="A93" s="227"/>
      <c r="B93" s="254"/>
      <c r="C93" s="203" t="s">
        <v>200</v>
      </c>
      <c r="L93" s="302"/>
      <c r="N93" s="1182" t="s">
        <v>774</v>
      </c>
      <c r="O93" s="1183"/>
      <c r="P93" s="680" t="s">
        <v>74</v>
      </c>
      <c r="U93" s="227"/>
      <c r="W93" s="204"/>
      <c r="X93" s="504"/>
    </row>
    <row r="94" spans="1:24" ht="14" customHeight="1">
      <c r="A94" s="227"/>
      <c r="B94" s="236"/>
      <c r="C94" s="237"/>
      <c r="D94" s="237"/>
      <c r="E94" s="237"/>
      <c r="F94" s="237"/>
      <c r="G94" s="237"/>
      <c r="H94" s="237"/>
      <c r="I94" s="237"/>
      <c r="J94" s="237"/>
      <c r="K94" s="237"/>
      <c r="L94" s="304"/>
      <c r="M94" s="237"/>
      <c r="N94" s="237"/>
      <c r="O94" s="237"/>
      <c r="P94" s="237"/>
      <c r="Q94" s="237"/>
      <c r="R94" s="237"/>
      <c r="S94" s="237"/>
      <c r="T94" s="237"/>
      <c r="U94" s="239"/>
      <c r="W94" s="204"/>
      <c r="X94" s="504"/>
    </row>
    <row r="95" spans="1:24" ht="24" customHeight="1">
      <c r="A95" s="227"/>
      <c r="B95" s="290"/>
      <c r="C95" s="234" t="s">
        <v>753</v>
      </c>
      <c r="D95" s="272"/>
      <c r="E95" s="272"/>
      <c r="F95" s="272"/>
      <c r="G95" s="272"/>
      <c r="H95" s="272"/>
      <c r="I95" s="272"/>
      <c r="J95" s="272"/>
      <c r="K95" s="272"/>
      <c r="L95" s="272"/>
      <c r="M95" s="272"/>
      <c r="N95" s="272"/>
      <c r="O95" s="272"/>
      <c r="P95" s="272"/>
      <c r="Q95" s="272"/>
      <c r="R95" s="272"/>
      <c r="S95" s="272"/>
      <c r="T95" s="272"/>
      <c r="U95" s="235"/>
      <c r="W95" s="204"/>
      <c r="X95" s="504"/>
    </row>
    <row r="96" spans="1:24" ht="14" customHeight="1">
      <c r="A96" s="227"/>
      <c r="B96" s="254"/>
      <c r="L96" s="302"/>
      <c r="U96" s="227"/>
      <c r="W96" s="204"/>
      <c r="X96" s="504"/>
    </row>
    <row r="97" spans="1:24" ht="18" customHeight="1">
      <c r="A97" s="227"/>
      <c r="B97" s="254"/>
      <c r="C97" s="203" t="s">
        <v>754</v>
      </c>
      <c r="L97" s="302"/>
      <c r="N97" s="1182" t="s">
        <v>774</v>
      </c>
      <c r="O97" s="1183"/>
      <c r="P97" s="680" t="s">
        <v>74</v>
      </c>
      <c r="U97" s="227"/>
      <c r="W97" s="204"/>
      <c r="X97" s="504"/>
    </row>
    <row r="98" spans="1:24" ht="14" customHeight="1">
      <c r="A98" s="227"/>
      <c r="B98" s="236"/>
      <c r="C98" s="237"/>
      <c r="D98" s="237"/>
      <c r="E98" s="237"/>
      <c r="F98" s="237"/>
      <c r="G98" s="237"/>
      <c r="H98" s="237"/>
      <c r="I98" s="237"/>
      <c r="J98" s="237"/>
      <c r="K98" s="237"/>
      <c r="L98" s="304"/>
      <c r="M98" s="237"/>
      <c r="N98" s="237"/>
      <c r="O98" s="237"/>
      <c r="P98" s="237"/>
      <c r="Q98" s="237"/>
      <c r="R98" s="237"/>
      <c r="S98" s="237"/>
      <c r="T98" s="237"/>
      <c r="U98" s="239"/>
      <c r="W98" s="204"/>
      <c r="X98" s="504"/>
    </row>
    <row r="99" spans="1:24" ht="24" customHeight="1">
      <c r="A99" s="227"/>
      <c r="B99" s="290"/>
      <c r="C99" s="234" t="s">
        <v>148</v>
      </c>
      <c r="D99" s="272"/>
      <c r="E99" s="272"/>
      <c r="F99" s="272"/>
      <c r="G99" s="272"/>
      <c r="H99" s="272"/>
      <c r="I99" s="272"/>
      <c r="J99" s="272"/>
      <c r="K99" s="272"/>
      <c r="L99" s="272"/>
      <c r="M99" s="272"/>
      <c r="N99" s="272"/>
      <c r="O99" s="272"/>
      <c r="P99" s="272"/>
      <c r="Q99" s="272"/>
      <c r="R99" s="272"/>
      <c r="S99" s="272"/>
      <c r="T99" s="272"/>
      <c r="U99" s="235"/>
      <c r="W99" s="204"/>
      <c r="X99" s="504"/>
    </row>
    <row r="100" spans="1:24" ht="14" customHeight="1">
      <c r="A100" s="227"/>
      <c r="B100" s="254"/>
      <c r="L100" s="302"/>
      <c r="U100" s="227"/>
      <c r="W100" s="204"/>
      <c r="X100" s="504"/>
    </row>
    <row r="101" spans="1:24" ht="18" customHeight="1">
      <c r="A101" s="227"/>
      <c r="B101" s="254"/>
      <c r="C101" s="203" t="s">
        <v>201</v>
      </c>
      <c r="L101" s="302"/>
      <c r="U101" s="227"/>
      <c r="W101" s="204"/>
      <c r="X101" s="504"/>
    </row>
    <row r="102" spans="1:24" ht="18" customHeight="1">
      <c r="A102" s="227"/>
      <c r="B102" s="254"/>
      <c r="C102" s="203" t="s">
        <v>202</v>
      </c>
      <c r="L102" s="302"/>
      <c r="N102" s="1182" t="s">
        <v>774</v>
      </c>
      <c r="O102" s="1183"/>
      <c r="P102" s="680" t="s">
        <v>74</v>
      </c>
      <c r="U102" s="227"/>
      <c r="W102" s="204"/>
      <c r="X102" s="504"/>
    </row>
    <row r="103" spans="1:24" ht="14" customHeight="1" thickBot="1">
      <c r="B103" s="255"/>
      <c r="C103" s="240"/>
      <c r="D103" s="240"/>
      <c r="E103" s="240"/>
      <c r="F103" s="240"/>
      <c r="G103" s="240"/>
      <c r="H103" s="240"/>
      <c r="I103" s="240"/>
      <c r="J103" s="240"/>
      <c r="K103" s="240"/>
      <c r="L103" s="322"/>
      <c r="M103" s="240"/>
      <c r="N103" s="240"/>
      <c r="O103" s="240"/>
      <c r="P103" s="240"/>
      <c r="Q103" s="240"/>
      <c r="R103" s="240"/>
      <c r="S103" s="240"/>
      <c r="T103" s="240"/>
      <c r="U103" s="241"/>
      <c r="W103" s="204"/>
      <c r="X103" s="504"/>
    </row>
    <row r="104" spans="1:24" ht="14" customHeight="1">
      <c r="W104" s="204"/>
      <c r="X104" s="504"/>
    </row>
    <row r="105" spans="1:24" ht="24" customHeight="1">
      <c r="W105" s="204"/>
      <c r="X105" s="504"/>
    </row>
    <row r="106" spans="1:24" ht="14" customHeight="1">
      <c r="W106" s="204"/>
      <c r="X106" s="504"/>
    </row>
    <row r="107" spans="1:24" ht="5" customHeight="1">
      <c r="A107" s="204"/>
      <c r="B107" s="204"/>
      <c r="C107" s="204"/>
      <c r="D107" s="204"/>
      <c r="E107" s="204"/>
      <c r="F107" s="204"/>
      <c r="G107" s="204"/>
      <c r="H107" s="204"/>
      <c r="I107" s="204"/>
      <c r="J107" s="204"/>
      <c r="K107" s="204"/>
      <c r="L107" s="204"/>
      <c r="M107" s="204"/>
      <c r="N107" s="204"/>
      <c r="O107" s="204"/>
      <c r="P107" s="204"/>
      <c r="Q107" s="204"/>
      <c r="R107" s="204"/>
      <c r="S107" s="204"/>
      <c r="T107" s="204"/>
      <c r="U107" s="204"/>
      <c r="V107" s="204"/>
      <c r="W107" s="204"/>
      <c r="X107" s="504"/>
    </row>
    <row r="108" spans="1:24" ht="45" customHeight="1">
      <c r="A108" s="504"/>
      <c r="B108" s="504"/>
      <c r="C108" s="504"/>
      <c r="D108" s="504"/>
      <c r="E108" s="504"/>
      <c r="F108" s="1035" t="s">
        <v>701</v>
      </c>
      <c r="G108" s="1035"/>
      <c r="H108" s="1035"/>
      <c r="I108" s="1035"/>
      <c r="J108" s="1035"/>
      <c r="K108" s="1035"/>
      <c r="L108" s="1035"/>
      <c r="M108" s="1035"/>
      <c r="N108" s="1035"/>
      <c r="O108" s="1035"/>
      <c r="P108" s="1035"/>
      <c r="Q108" s="504"/>
      <c r="R108" s="504"/>
      <c r="S108" s="504"/>
      <c r="T108" s="504"/>
      <c r="U108" s="504"/>
      <c r="V108" s="504"/>
      <c r="W108" s="504"/>
      <c r="X108" s="504"/>
    </row>
    <row r="109" spans="1:24" s="301" customFormat="1" ht="26.25" customHeight="1"/>
    <row r="111" spans="1:24" ht="18" customHeight="1">
      <c r="A111" s="505"/>
    </row>
  </sheetData>
  <sheetProtection algorithmName="SHA-512" hashValue="7q0kCtrknLraxjczyz9Jera5MOl5Akga80Sid533tWR+ajebHpA7EZVyWrX0jqaWePHmChruP3fW6Q0TPCI3YA==" saltValue="QdH3buS71sYnr8pyTpxxLQ==" spinCount="100000" sheet="1" objects="1" scenarios="1"/>
  <mergeCells count="22">
    <mergeCell ref="F108:P108"/>
    <mergeCell ref="N102:O102"/>
    <mergeCell ref="N26:S26"/>
    <mergeCell ref="N46:O46"/>
    <mergeCell ref="N50:O50"/>
    <mergeCell ref="N52:O52"/>
    <mergeCell ref="N61:O61"/>
    <mergeCell ref="N56:P56"/>
    <mergeCell ref="N44:O44"/>
    <mergeCell ref="N30:O30"/>
    <mergeCell ref="N34:O34"/>
    <mergeCell ref="N38:O38"/>
    <mergeCell ref="N40:O40"/>
    <mergeCell ref="N89:O89"/>
    <mergeCell ref="N87:U88"/>
    <mergeCell ref="Y1:AA1"/>
    <mergeCell ref="A1:B1"/>
    <mergeCell ref="R1:T1"/>
    <mergeCell ref="N93:O93"/>
    <mergeCell ref="N97:O97"/>
    <mergeCell ref="N22:O22"/>
    <mergeCell ref="M87:M88"/>
  </mergeCells>
  <conditionalFormatting sqref="A1:Q1">
    <cfRule type="expression" dxfId="120" priority="4">
      <formula>OR(VA_FEHLER_AB&gt;0,VA_FEHLER_C&gt;0,VA_FEHLER_D&gt;0)</formula>
    </cfRule>
  </conditionalFormatting>
  <conditionalFormatting sqref="C28:C30">
    <cfRule type="expression" dxfId="119" priority="36">
      <formula>VA_TFAUSWAHL=1</formula>
    </cfRule>
  </conditionalFormatting>
  <conditionalFormatting sqref="C32:C40 P40">
    <cfRule type="expression" dxfId="118" priority="33">
      <formula>VA_TFAUSWAHL=2</formula>
    </cfRule>
  </conditionalFormatting>
  <conditionalFormatting sqref="C42:C56 P52">
    <cfRule type="expression" dxfId="117" priority="26">
      <formula>VA_TFAUSWAHL=3</formula>
    </cfRule>
  </conditionalFormatting>
  <conditionalFormatting sqref="C57">
    <cfRule type="expression" dxfId="116" priority="5">
      <formula>VA_TFAUSWAHL=3</formula>
    </cfRule>
  </conditionalFormatting>
  <conditionalFormatting sqref="C59:C61 P61">
    <cfRule type="expression" dxfId="115" priority="18">
      <formula>VA_TFAUSWAHL=4</formula>
    </cfRule>
  </conditionalFormatting>
  <conditionalFormatting sqref="C86:C89 P89">
    <cfRule type="expression" dxfId="114" priority="12">
      <formula>VP_5_SICH_BESTAND_VORHANDEN=1</formula>
    </cfRule>
  </conditionalFormatting>
  <conditionalFormatting sqref="M87">
    <cfRule type="expression" dxfId="113" priority="9">
      <formula>VP_5_SICH_BESTAND_VORHANDEN=1</formula>
    </cfRule>
  </conditionalFormatting>
  <conditionalFormatting sqref="N87">
    <cfRule type="expression" dxfId="112" priority="10">
      <formula>VP_5_SICH_BESTAND_VORHANDEN=1</formula>
    </cfRule>
  </conditionalFormatting>
  <conditionalFormatting sqref="N30:O30">
    <cfRule type="expression" dxfId="111" priority="37">
      <formula>VA_TFAUSWAHL&lt;&gt;1</formula>
    </cfRule>
  </conditionalFormatting>
  <conditionalFormatting sqref="N38:O38 N40:O40 N34:O34">
    <cfRule type="expression" dxfId="110" priority="34">
      <formula>VA_TFAUSWAHL&lt;&gt;2</formula>
    </cfRule>
  </conditionalFormatting>
  <conditionalFormatting sqref="N38:O38 N40:O40">
    <cfRule type="expression" dxfId="109" priority="29">
      <formula>AND(VA_TFAUSWAHL=2,VP_2_RVEA&lt;&gt;"",VP_2_RVTF&lt;&gt;"")</formula>
    </cfRule>
  </conditionalFormatting>
  <conditionalFormatting sqref="N50:O50 N52:O52 N44:O44 N46:O46 N56:P56">
    <cfRule type="expression" dxfId="108" priority="28">
      <formula>VA_TFAUSWAHL&lt;&gt;3</formula>
    </cfRule>
  </conditionalFormatting>
  <conditionalFormatting sqref="N50:O50 N52:O52">
    <cfRule type="expression" dxfId="107" priority="20">
      <formula>AND(VA_TFAUSWAHL=3,VP_3_BVZUKUNFT&lt;&gt;"",VP_3_BVTF&lt;&gt;"")</formula>
    </cfRule>
  </conditionalFormatting>
  <conditionalFormatting sqref="N61:O61">
    <cfRule type="expression" dxfId="106" priority="19">
      <formula>VA_TFAUSWAHL&lt;&gt;4</formula>
    </cfRule>
  </conditionalFormatting>
  <conditionalFormatting sqref="N89:O89">
    <cfRule type="expression" dxfId="105" priority="11">
      <formula>VP_5_SICH_BESTAND_VORHANDEN=1</formula>
    </cfRule>
  </conditionalFormatting>
  <conditionalFormatting sqref="N26:S26">
    <cfRule type="expression" dxfId="104" priority="41">
      <formula>VA_TFAUSWAHL=0</formula>
    </cfRule>
  </conditionalFormatting>
  <conditionalFormatting sqref="Q22">
    <cfRule type="expression" dxfId="103" priority="40">
      <formula>AND(VP_0_EAHEUTE="",VA_TFAUSWAHL&lt;3,VA_TFAUSWAHL&gt;0)</formula>
    </cfRule>
  </conditionalFormatting>
  <conditionalFormatting sqref="Q30">
    <cfRule type="expression" dxfId="102" priority="35">
      <formula>AND(VA_TFAUSWAHL=1,VP_1_DBEA2040="")</formula>
    </cfRule>
  </conditionalFormatting>
  <conditionalFormatting sqref="Q34">
    <cfRule type="expression" dxfId="101" priority="32">
      <formula>AND(VA_TFAUSWAHL=2,$N$34="")</formula>
    </cfRule>
  </conditionalFormatting>
  <conditionalFormatting sqref="Q38 Q40">
    <cfRule type="expression" dxfId="100" priority="31">
      <formula>AND(VA_TFAUSWAHL=2,$N$38="",$N$40="")</formula>
    </cfRule>
  </conditionalFormatting>
  <conditionalFormatting sqref="Q44">
    <cfRule type="expression" dxfId="99" priority="25">
      <formula>AND(VA_TFAUSWAHL=3,$N$44="")</formula>
    </cfRule>
  </conditionalFormatting>
  <conditionalFormatting sqref="Q46">
    <cfRule type="expression" dxfId="98" priority="23">
      <formula>AND(VA_TFAUSWAHL=3,$N$46="")</formula>
    </cfRule>
  </conditionalFormatting>
  <conditionalFormatting sqref="Q50 Q52">
    <cfRule type="expression" dxfId="97" priority="22">
      <formula>AND(VA_TFAUSWAHL=3,$N$50="",$N$52="")</formula>
    </cfRule>
  </conditionalFormatting>
  <conditionalFormatting sqref="Q56">
    <cfRule type="expression" dxfId="96" priority="27">
      <formula>VA_TFAUSWAHL&lt;&gt;3</formula>
    </cfRule>
  </conditionalFormatting>
  <conditionalFormatting sqref="Q61">
    <cfRule type="expression" dxfId="95" priority="15">
      <formula>AND(VA_TFAUSWAHL=4,$N$61="")</formula>
    </cfRule>
  </conditionalFormatting>
  <conditionalFormatting sqref="R38 R40">
    <cfRule type="expression" dxfId="94" priority="30">
      <formula>AND(VA_TFAUSWAHL=2,VP_2_RVEA&lt;&gt;"",VP_2_RVTF&lt;&gt;"")</formula>
    </cfRule>
  </conditionalFormatting>
  <conditionalFormatting sqref="R50 R52">
    <cfRule type="expression" dxfId="93" priority="21">
      <formula>AND(VA_TFAUSWAHL=3,VP_3_BVZUKUNFT&lt;&gt;"",VP_3_BVTF&lt;&gt;"")</formula>
    </cfRule>
  </conditionalFormatting>
  <conditionalFormatting sqref="Y1">
    <cfRule type="expression" dxfId="92" priority="2">
      <formula>V_ARBEIT=0</formula>
    </cfRule>
  </conditionalFormatting>
  <dataValidations count="7">
    <dataValidation type="list" allowBlank="1" showInputMessage="1" showErrorMessage="1" sqref="N26:S26" xr:uid="{097E715C-6C7F-4E4B-BDB6-CE549FF0AAE3}">
      <formula1>R_TFAUSWAHL</formula1>
    </dataValidation>
    <dataValidation type="list" allowBlank="1" showInputMessage="1" showErrorMessage="1" errorTitle="Eingabefehler" error="Bitte Eintrag aus der Auswahlliste wählen." sqref="N56:P56" xr:uid="{DE0E1B55-E874-4D94-8B5B-83B7CD567F53}">
      <formula1>R_UVB</formula1>
    </dataValidation>
    <dataValidation type="list" allowBlank="1" showInputMessage="1" showErrorMessage="1" errorTitle="Eingabefehler" error="Bitte Eintrag aus der Auswahlliste wählen." sqref="N102:O102 N93:O93 N97:O97 N89:O89" xr:uid="{F9E542F9-8268-4009-8F58-450A203EA135}">
      <formula1>"nein,ja"</formula1>
    </dataValidation>
    <dataValidation type="whole" operator="greaterThanOrEqual" allowBlank="1" showErrorMessage="1" errorTitle="Eingabefehler" error="Nur ganze, positive Zahlen sowie 0 erlaubt." sqref="N50:O50 N30:O30 N38:O38" xr:uid="{DDA0801D-8BBD-4951-87E8-70DD750144B3}">
      <formula1>0</formula1>
    </dataValidation>
    <dataValidation type="whole" allowBlank="1" showErrorMessage="1" errorTitle="Eingabefehler" error="Nur Werte zwischen 2023 und 2099 erlaubt." sqref="N34:O34 N46:O46" xr:uid="{694C29C5-B669-49AB-975D-E4B58F73ADFC}">
      <formula1>2023</formula1>
      <formula2>2099</formula2>
    </dataValidation>
    <dataValidation type="decimal" operator="greaterThanOrEqual" allowBlank="1" showErrorMessage="1" errorTitle="Eingabefehler" error="Nur Werte größer als -100 erlaubt." sqref="N40:O40 N52:O52 N61:O61" xr:uid="{0EB66C52-1B9C-418D-BE7A-5FFE951D7AB7}">
      <formula1>-100</formula1>
    </dataValidation>
    <dataValidation type="whole" operator="greaterThanOrEqual" allowBlank="1" showErrorMessage="1" errorTitle="Eingabefehler" error="Nur ganze, positive Zahlen erlaubt." sqref="N22:O22 N44:O44" xr:uid="{2DD61B1A-3BBF-4CEA-AB2E-60C68B95B347}">
      <formula1>1</formula1>
    </dataValidation>
  </dataValidations>
  <printOptions horizontalCentered="1"/>
  <pageMargins left="0.70866141732283472" right="0.70866141732283472" top="0.78740157480314965" bottom="0.78740157480314965" header="0.39370078740157483" footer="0.27559055118110237"/>
  <pageSetup paperSize="9" scale="47" orientation="portrait" errors="blank" r:id="rId1"/>
  <headerFooter scaleWithDoc="0">
    <oddHeader>&amp;L&amp;13Trendfaktor und abschließbarer Mindestbedarf&amp;R&amp;G</oddHeader>
    <oddFooter>&amp;L&amp;G&amp;C&amp;6&amp;U&amp;K02+000Infostelle Fahrradparken&amp;18&amp;U&amp;K01+000
&amp;9https://radparken.info&amp;R&amp;KA5A5A5&amp;"Calibri"&amp;6Druck am: &amp;D
Tabellenreiter: &amp;A
Version: 3.6 (08.01.2025)</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BB4B2-786B-49DA-8425-5284E8EE3B5A}">
  <sheetPr codeName="Sheet4">
    <tabColor theme="6" tint="0.59999389629810485"/>
    <pageSetUpPr autoPageBreaks="0" fitToPage="1"/>
  </sheetPr>
  <dimension ref="A1:AA182"/>
  <sheetViews>
    <sheetView showGridLines="0" showRowColHeaders="0" zoomScaleNormal="100" workbookViewId="0">
      <pane ySplit="3" topLeftCell="A4" activePane="bottomLeft" state="frozen"/>
      <selection activeCell="A4" sqref="A4"/>
      <selection pane="bottomLeft" activeCell="A4" sqref="A4"/>
    </sheetView>
  </sheetViews>
  <sheetFormatPr baseColWidth="10" defaultColWidth="18.6640625" defaultRowHeight="18" customHeight="1"/>
  <cols>
    <col min="1" max="1" width="1.6640625" style="203" customWidth="1"/>
    <col min="2" max="2" width="3.6640625" style="203" customWidth="1"/>
    <col min="3" max="20" width="9.6640625" style="203" customWidth="1"/>
    <col min="21" max="21" width="3.6640625" style="203" customWidth="1"/>
    <col min="22" max="22" width="1.6640625" style="203" customWidth="1"/>
    <col min="23" max="23" width="0.83203125" style="203" customWidth="1"/>
    <col min="24" max="24" width="7.1640625" style="203" customWidth="1"/>
    <col min="25" max="16384" width="18.6640625" style="203"/>
  </cols>
  <sheetData>
    <row r="1" spans="1:27" ht="37.5" customHeight="1">
      <c r="A1" s="1036" t="s">
        <v>178</v>
      </c>
      <c r="B1" s="1036"/>
      <c r="C1" s="506" t="str">
        <f>TBS_FH</f>
        <v/>
      </c>
      <c r="D1" s="504"/>
      <c r="E1" s="504"/>
      <c r="F1" s="504"/>
      <c r="G1" s="504"/>
      <c r="H1" s="504"/>
      <c r="I1" s="504"/>
      <c r="J1" s="504"/>
      <c r="K1" s="504"/>
      <c r="L1" s="504"/>
      <c r="M1" s="504"/>
      <c r="N1" s="504"/>
      <c r="O1" s="504"/>
      <c r="P1" s="504"/>
      <c r="Q1" s="504"/>
      <c r="R1" s="1037" t="str">
        <f>"Ermittelter Baubedarf:"&amp;CHAR(10)&amp;VA_BBGESAMT</f>
        <v>Ermittelter Baubedarf:
es fehlen noch Daten</v>
      </c>
      <c r="S1" s="1038"/>
      <c r="T1" s="1038"/>
      <c r="U1" s="507"/>
      <c r="Y1" s="1034" t="s">
        <v>779</v>
      </c>
      <c r="Z1" s="1034"/>
      <c r="AA1" s="1034"/>
    </row>
    <row r="2" spans="1:27" ht="4" customHeight="1">
      <c r="A2" s="204"/>
      <c r="B2" s="205"/>
      <c r="C2" s="205"/>
      <c r="D2" s="204"/>
      <c r="E2" s="204"/>
      <c r="F2" s="204"/>
      <c r="G2" s="204"/>
      <c r="H2" s="204"/>
      <c r="I2" s="204"/>
      <c r="J2" s="204"/>
      <c r="K2" s="204"/>
      <c r="L2" s="204"/>
      <c r="M2" s="204"/>
      <c r="N2" s="204"/>
      <c r="O2" s="204"/>
      <c r="P2" s="204"/>
      <c r="Q2" s="204"/>
      <c r="R2" s="204"/>
      <c r="S2" s="204"/>
      <c r="T2" s="204"/>
      <c r="U2" s="204"/>
      <c r="V2" s="204"/>
      <c r="W2" s="204"/>
    </row>
    <row r="3" spans="1:27" ht="4" customHeight="1">
      <c r="B3" s="206"/>
      <c r="C3" s="206"/>
      <c r="W3" s="204"/>
    </row>
    <row r="4" spans="1:27" ht="14" customHeight="1" thickBot="1">
      <c r="W4" s="204"/>
    </row>
    <row r="5" spans="1:27" ht="14" customHeight="1">
      <c r="B5" s="242"/>
      <c r="C5" s="243"/>
      <c r="D5" s="243"/>
      <c r="E5" s="243"/>
      <c r="F5" s="243"/>
      <c r="G5" s="243"/>
      <c r="H5" s="243"/>
      <c r="I5" s="243"/>
      <c r="J5" s="243"/>
      <c r="K5" s="243"/>
      <c r="L5" s="243"/>
      <c r="M5" s="243"/>
      <c r="N5" s="243"/>
      <c r="O5" s="243"/>
      <c r="P5" s="243"/>
      <c r="Q5" s="243"/>
      <c r="R5" s="243"/>
      <c r="S5" s="243"/>
      <c r="T5" s="243"/>
      <c r="U5" s="244"/>
      <c r="W5" s="204"/>
    </row>
    <row r="6" spans="1:27" ht="18" customHeight="1">
      <c r="B6" s="245"/>
      <c r="C6" s="214" t="str">
        <f>TBS_2</f>
        <v>Zusammenfassung und Berechnung können nicht angezeigt werden. Bitte prüfen Sie Ihre Eingaben.</v>
      </c>
      <c r="D6" s="214"/>
      <c r="E6" s="202"/>
      <c r="F6" s="202"/>
      <c r="G6" s="202"/>
      <c r="H6" s="202"/>
      <c r="I6" s="202"/>
      <c r="J6" s="202"/>
      <c r="K6" s="202"/>
      <c r="L6" s="202"/>
      <c r="M6" s="202"/>
      <c r="N6" s="202"/>
      <c r="O6" s="202"/>
      <c r="P6" s="202"/>
      <c r="Q6" s="202"/>
      <c r="R6" s="202"/>
      <c r="S6" s="202"/>
      <c r="T6" s="202"/>
      <c r="U6" s="246"/>
      <c r="W6" s="204"/>
    </row>
    <row r="7" spans="1:27" ht="18" customHeight="1">
      <c r="B7" s="245"/>
      <c r="C7" s="202"/>
      <c r="D7" s="202"/>
      <c r="E7" s="202"/>
      <c r="F7" s="202"/>
      <c r="G7" s="202"/>
      <c r="H7" s="202"/>
      <c r="I7" s="202"/>
      <c r="J7" s="202"/>
      <c r="K7" s="202"/>
      <c r="L7" s="202"/>
      <c r="M7" s="202"/>
      <c r="N7" s="202"/>
      <c r="O7" s="202"/>
      <c r="P7" s="202"/>
      <c r="Q7" s="202"/>
      <c r="R7" s="202"/>
      <c r="S7" s="202"/>
      <c r="T7" s="202"/>
      <c r="U7" s="246"/>
      <c r="W7" s="204"/>
    </row>
    <row r="8" spans="1:27" ht="24" customHeight="1">
      <c r="B8" s="245"/>
      <c r="C8" s="1220" t="str">
        <f>IF(
VA_ZUSAMMEN=1,"Zusammenfassung beider Bahnhofsseiten",IF(
AND(VA_BESTANDSEINGABE=1,VA_VERKEHRSSTATION=""),"Bahnhofsname nicht eingegeben",IF(
AND(VA_BESTANDSEINGABE=1,VA_VERKEHRSSTATION&lt;&gt;""),VA_VERKEHRSSTATION,IF(
VA_ZUGANG_1="","Bezeichnung der Bahnhofsseite fehlt",
VA_ZUGANG_1))))</f>
        <v>Zusammenfassung beider Bahnhofsseiten</v>
      </c>
      <c r="D8" s="1220"/>
      <c r="E8" s="1220"/>
      <c r="F8" s="1220"/>
      <c r="G8" s="1220"/>
      <c r="H8" s="1220"/>
      <c r="I8" s="1220"/>
      <c r="J8" s="1220"/>
      <c r="K8" s="202"/>
      <c r="L8" s="202"/>
      <c r="M8" s="1220" t="str">
        <f>IF(VA_ZUGANG_2="","Bezeichnung der Bahnhofsseite fehlt",VA_ZUGANG_2)</f>
        <v>Bezeichnung der Bahnhofsseite fehlt</v>
      </c>
      <c r="N8" s="1220"/>
      <c r="O8" s="1220"/>
      <c r="P8" s="1220"/>
      <c r="Q8" s="1220"/>
      <c r="R8" s="1220"/>
      <c r="S8" s="1220"/>
      <c r="T8" s="1220"/>
      <c r="U8" s="246"/>
      <c r="W8" s="204"/>
    </row>
    <row r="9" spans="1:27" ht="18" customHeight="1" thickBot="1">
      <c r="B9" s="245"/>
      <c r="C9" s="202"/>
      <c r="D9" s="202"/>
      <c r="E9" s="202"/>
      <c r="F9" s="202"/>
      <c r="G9" s="202"/>
      <c r="H9" s="202"/>
      <c r="I9" s="202"/>
      <c r="J9" s="202"/>
      <c r="K9" s="202"/>
      <c r="L9" s="202"/>
      <c r="M9" s="202"/>
      <c r="N9" s="202"/>
      <c r="O9" s="202"/>
      <c r="P9" s="202"/>
      <c r="Q9" s="202"/>
      <c r="R9" s="202"/>
      <c r="S9" s="202"/>
      <c r="T9" s="202"/>
      <c r="U9" s="246"/>
      <c r="W9" s="204"/>
    </row>
    <row r="10" spans="1:27" ht="24" customHeight="1" thickBot="1">
      <c r="B10" s="245"/>
      <c r="C10" s="1292" t="s">
        <v>13</v>
      </c>
      <c r="D10" s="1293"/>
      <c r="E10" s="670" t="s">
        <v>249</v>
      </c>
      <c r="F10" s="324"/>
      <c r="G10" s="324"/>
      <c r="H10" s="325" t="s">
        <v>20</v>
      </c>
      <c r="I10" s="326" t="s">
        <v>99</v>
      </c>
      <c r="J10" s="327" t="s">
        <v>38</v>
      </c>
      <c r="K10" s="328"/>
      <c r="L10" s="202"/>
      <c r="M10" s="1292" t="s">
        <v>13</v>
      </c>
      <c r="N10" s="1293"/>
      <c r="O10" s="670" t="s">
        <v>249</v>
      </c>
      <c r="P10" s="324"/>
      <c r="Q10" s="324"/>
      <c r="R10" s="325" t="s">
        <v>20</v>
      </c>
      <c r="S10" s="326" t="s">
        <v>99</v>
      </c>
      <c r="T10" s="327" t="s">
        <v>38</v>
      </c>
      <c r="U10" s="246"/>
      <c r="W10" s="204"/>
    </row>
    <row r="11" spans="1:27" ht="18" customHeight="1">
      <c r="B11" s="245"/>
      <c r="C11" s="1209" t="s">
        <v>41</v>
      </c>
      <c r="D11" s="1210"/>
      <c r="E11" s="1215" t="s">
        <v>755</v>
      </c>
      <c r="F11" s="1215"/>
      <c r="G11" s="1216"/>
      <c r="H11" s="329">
        <f>intern!G43</f>
        <v>0</v>
      </c>
      <c r="I11" s="330">
        <f>intern!H43</f>
        <v>0</v>
      </c>
      <c r="J11" s="331" t="str">
        <f>IFERROR(I11/H11,"")</f>
        <v/>
      </c>
      <c r="K11" s="328"/>
      <c r="L11" s="202"/>
      <c r="M11" s="1209" t="s">
        <v>41</v>
      </c>
      <c r="N11" s="1210"/>
      <c r="O11" s="1215" t="s">
        <v>755</v>
      </c>
      <c r="P11" s="1215"/>
      <c r="Q11" s="1216"/>
      <c r="R11" s="329">
        <f>intern!Q43</f>
        <v>0</v>
      </c>
      <c r="S11" s="330">
        <f>intern!R43</f>
        <v>0</v>
      </c>
      <c r="T11" s="331" t="str">
        <f>IFERROR(S11/R11,"")</f>
        <v/>
      </c>
      <c r="U11" s="246"/>
      <c r="W11" s="204"/>
    </row>
    <row r="12" spans="1:27" ht="18" customHeight="1">
      <c r="B12" s="245"/>
      <c r="C12" s="1211"/>
      <c r="D12" s="1133"/>
      <c r="E12" s="1207" t="s">
        <v>756</v>
      </c>
      <c r="F12" s="1207"/>
      <c r="G12" s="1208"/>
      <c r="H12" s="332">
        <f>intern!D43</f>
        <v>0</v>
      </c>
      <c r="I12" s="333">
        <f>intern!E43</f>
        <v>0</v>
      </c>
      <c r="J12" s="334" t="str">
        <f t="shared" ref="J12:J13" si="0">IFERROR(I12/H12,"")</f>
        <v/>
      </c>
      <c r="K12" s="328"/>
      <c r="L12" s="202"/>
      <c r="M12" s="1211"/>
      <c r="N12" s="1133"/>
      <c r="O12" s="1207" t="s">
        <v>756</v>
      </c>
      <c r="P12" s="1207"/>
      <c r="Q12" s="1208"/>
      <c r="R12" s="332">
        <f>intern!N43</f>
        <v>0</v>
      </c>
      <c r="S12" s="333">
        <f>intern!O43</f>
        <v>0</v>
      </c>
      <c r="T12" s="334" t="str">
        <f t="shared" ref="T12:T13" si="1">IFERROR(S12/R12,"")</f>
        <v/>
      </c>
      <c r="U12" s="246"/>
      <c r="W12" s="204"/>
    </row>
    <row r="13" spans="1:27" ht="18" customHeight="1">
      <c r="B13" s="245"/>
      <c r="C13" s="1211"/>
      <c r="D13" s="1133"/>
      <c r="E13" s="1207" t="s">
        <v>2</v>
      </c>
      <c r="F13" s="1207"/>
      <c r="G13" s="1208"/>
      <c r="H13" s="335">
        <f>intern!J43</f>
        <v>0</v>
      </c>
      <c r="I13" s="336">
        <f>intern!K43</f>
        <v>0</v>
      </c>
      <c r="J13" s="337" t="str">
        <f t="shared" si="0"/>
        <v/>
      </c>
      <c r="K13" s="328"/>
      <c r="L13" s="202"/>
      <c r="M13" s="1211"/>
      <c r="N13" s="1133"/>
      <c r="O13" s="1207" t="s">
        <v>2</v>
      </c>
      <c r="P13" s="1207"/>
      <c r="Q13" s="1208"/>
      <c r="R13" s="335">
        <f>intern!T43</f>
        <v>0</v>
      </c>
      <c r="S13" s="336">
        <f>intern!U43</f>
        <v>0</v>
      </c>
      <c r="T13" s="337" t="str">
        <f t="shared" si="1"/>
        <v/>
      </c>
      <c r="U13" s="246"/>
      <c r="W13" s="204"/>
    </row>
    <row r="14" spans="1:27" ht="18" customHeight="1">
      <c r="B14" s="245"/>
      <c r="C14" s="1211"/>
      <c r="D14" s="1133"/>
      <c r="E14" s="1207" t="s">
        <v>0</v>
      </c>
      <c r="F14" s="1207"/>
      <c r="G14" s="1208"/>
      <c r="H14" s="338" t="s">
        <v>105</v>
      </c>
      <c r="I14" s="336">
        <f>intern!M43</f>
        <v>0</v>
      </c>
      <c r="J14" s="339" t="s">
        <v>105</v>
      </c>
      <c r="K14" s="328"/>
      <c r="L14" s="202"/>
      <c r="M14" s="1211"/>
      <c r="N14" s="1133"/>
      <c r="O14" s="1207" t="s">
        <v>0</v>
      </c>
      <c r="P14" s="1207"/>
      <c r="Q14" s="1208"/>
      <c r="R14" s="338" t="s">
        <v>105</v>
      </c>
      <c r="S14" s="336">
        <f>intern!W43</f>
        <v>0</v>
      </c>
      <c r="T14" s="339" t="s">
        <v>105</v>
      </c>
      <c r="U14" s="246"/>
      <c r="W14" s="204"/>
    </row>
    <row r="15" spans="1:27" ht="18" customHeight="1" thickBot="1">
      <c r="B15" s="245"/>
      <c r="C15" s="1212"/>
      <c r="D15" s="1213"/>
      <c r="E15" s="1223" t="s">
        <v>104</v>
      </c>
      <c r="F15" s="1223"/>
      <c r="G15" s="1223"/>
      <c r="H15" s="340">
        <f>SUM(H11:H14)</f>
        <v>0</v>
      </c>
      <c r="I15" s="341">
        <f>SUM(I11:I14)</f>
        <v>0</v>
      </c>
      <c r="J15" s="342" t="str">
        <f>IFERROR(I15/H15,"")</f>
        <v/>
      </c>
      <c r="K15" s="328"/>
      <c r="L15" s="202"/>
      <c r="M15" s="1212"/>
      <c r="N15" s="1213"/>
      <c r="O15" s="1223" t="s">
        <v>104</v>
      </c>
      <c r="P15" s="1223"/>
      <c r="Q15" s="1223"/>
      <c r="R15" s="340">
        <f>SUM(R11:R14)</f>
        <v>0</v>
      </c>
      <c r="S15" s="341">
        <f>SUM(S11:S14)</f>
        <v>0</v>
      </c>
      <c r="T15" s="342" t="str">
        <f>IFERROR(S15/R15,"")</f>
        <v/>
      </c>
      <c r="U15" s="246"/>
      <c r="W15" s="204"/>
    </row>
    <row r="16" spans="1:27" ht="18" customHeight="1">
      <c r="B16" s="245"/>
      <c r="C16" s="1209" t="s">
        <v>102</v>
      </c>
      <c r="D16" s="1210"/>
      <c r="E16" s="1215" t="s">
        <v>755</v>
      </c>
      <c r="F16" s="1215"/>
      <c r="G16" s="1216"/>
      <c r="H16" s="343">
        <f>intern!G44</f>
        <v>0</v>
      </c>
      <c r="I16" s="344">
        <f>intern!H44</f>
        <v>0</v>
      </c>
      <c r="J16" s="345" t="str">
        <f>IFERROR(I16/H16,"")</f>
        <v/>
      </c>
      <c r="K16" s="328"/>
      <c r="L16" s="202"/>
      <c r="M16" s="1209" t="s">
        <v>102</v>
      </c>
      <c r="N16" s="1210"/>
      <c r="O16" s="1215" t="s">
        <v>755</v>
      </c>
      <c r="P16" s="1215"/>
      <c r="Q16" s="1216"/>
      <c r="R16" s="343">
        <f>intern!Q44</f>
        <v>0</v>
      </c>
      <c r="S16" s="344">
        <f>intern!R44</f>
        <v>0</v>
      </c>
      <c r="T16" s="345" t="str">
        <f>IFERROR(S16/R16,"")</f>
        <v/>
      </c>
      <c r="U16" s="246"/>
      <c r="W16" s="204"/>
      <c r="X16" s="504"/>
    </row>
    <row r="17" spans="2:24" ht="18" customHeight="1">
      <c r="B17" s="245"/>
      <c r="C17" s="1211"/>
      <c r="D17" s="1133"/>
      <c r="E17" s="1207" t="s">
        <v>756</v>
      </c>
      <c r="F17" s="1207"/>
      <c r="G17" s="1208"/>
      <c r="H17" s="332">
        <f>intern!D44</f>
        <v>0</v>
      </c>
      <c r="I17" s="336">
        <f>intern!E44</f>
        <v>0</v>
      </c>
      <c r="J17" s="346" t="str">
        <f t="shared" ref="J17:J18" si="2">IFERROR(I17/H17,"")</f>
        <v/>
      </c>
      <c r="K17" s="328"/>
      <c r="L17" s="202"/>
      <c r="M17" s="1211"/>
      <c r="N17" s="1133"/>
      <c r="O17" s="1207" t="s">
        <v>756</v>
      </c>
      <c r="P17" s="1207"/>
      <c r="Q17" s="1208"/>
      <c r="R17" s="332">
        <f>intern!N44</f>
        <v>0</v>
      </c>
      <c r="S17" s="336">
        <f>intern!O44</f>
        <v>0</v>
      </c>
      <c r="T17" s="346" t="str">
        <f t="shared" ref="T17:T18" si="3">IFERROR(S17/R17,"")</f>
        <v/>
      </c>
      <c r="U17" s="246"/>
      <c r="W17" s="204"/>
      <c r="X17" s="504"/>
    </row>
    <row r="18" spans="2:24" ht="18" customHeight="1">
      <c r="B18" s="245"/>
      <c r="C18" s="1211"/>
      <c r="D18" s="1133"/>
      <c r="E18" s="1207" t="s">
        <v>2</v>
      </c>
      <c r="F18" s="1207"/>
      <c r="G18" s="1208"/>
      <c r="H18" s="335">
        <f>intern!J44</f>
        <v>0</v>
      </c>
      <c r="I18" s="336">
        <f>intern!K44</f>
        <v>0</v>
      </c>
      <c r="J18" s="337" t="str">
        <f t="shared" si="2"/>
        <v/>
      </c>
      <c r="K18" s="328"/>
      <c r="L18" s="202"/>
      <c r="M18" s="1211"/>
      <c r="N18" s="1133"/>
      <c r="O18" s="1207" t="s">
        <v>2</v>
      </c>
      <c r="P18" s="1207"/>
      <c r="Q18" s="1208"/>
      <c r="R18" s="335">
        <f>intern!T44</f>
        <v>0</v>
      </c>
      <c r="S18" s="336">
        <f>intern!U44</f>
        <v>0</v>
      </c>
      <c r="T18" s="337" t="str">
        <f t="shared" si="3"/>
        <v/>
      </c>
      <c r="U18" s="246"/>
      <c r="W18" s="204"/>
      <c r="X18" s="504"/>
    </row>
    <row r="19" spans="2:24" ht="18" customHeight="1">
      <c r="B19" s="245"/>
      <c r="C19" s="1211"/>
      <c r="D19" s="1133"/>
      <c r="E19" s="1207" t="s">
        <v>0</v>
      </c>
      <c r="F19" s="1207"/>
      <c r="G19" s="1208"/>
      <c r="H19" s="338" t="s">
        <v>105</v>
      </c>
      <c r="I19" s="336">
        <f>intern!M44</f>
        <v>0</v>
      </c>
      <c r="J19" s="339" t="s">
        <v>105</v>
      </c>
      <c r="K19" s="328"/>
      <c r="L19" s="202"/>
      <c r="M19" s="1211"/>
      <c r="N19" s="1133"/>
      <c r="O19" s="1207" t="s">
        <v>0</v>
      </c>
      <c r="P19" s="1207"/>
      <c r="Q19" s="1208"/>
      <c r="R19" s="338" t="s">
        <v>105</v>
      </c>
      <c r="S19" s="336">
        <f>intern!W44</f>
        <v>0</v>
      </c>
      <c r="T19" s="339" t="s">
        <v>105</v>
      </c>
      <c r="U19" s="246"/>
      <c r="W19" s="204"/>
      <c r="X19" s="504"/>
    </row>
    <row r="20" spans="2:24" ht="18" customHeight="1" thickBot="1">
      <c r="B20" s="245"/>
      <c r="C20" s="1212"/>
      <c r="D20" s="1213"/>
      <c r="E20" s="1223" t="s">
        <v>104</v>
      </c>
      <c r="F20" s="1223"/>
      <c r="G20" s="1223"/>
      <c r="H20" s="347">
        <f>SUM(H16:H19)</f>
        <v>0</v>
      </c>
      <c r="I20" s="348">
        <f>SUM(I16:I19)</f>
        <v>0</v>
      </c>
      <c r="J20" s="342" t="str">
        <f>IFERROR(I20/H20,"")</f>
        <v/>
      </c>
      <c r="K20" s="328"/>
      <c r="L20" s="202"/>
      <c r="M20" s="1212"/>
      <c r="N20" s="1213"/>
      <c r="O20" s="1223" t="s">
        <v>104</v>
      </c>
      <c r="P20" s="1223"/>
      <c r="Q20" s="1223"/>
      <c r="R20" s="347">
        <f>SUM(R16:R19)</f>
        <v>0</v>
      </c>
      <c r="S20" s="348">
        <f>SUM(S16:S19)</f>
        <v>0</v>
      </c>
      <c r="T20" s="342" t="str">
        <f>IFERROR(S20/R20,"")</f>
        <v/>
      </c>
      <c r="U20" s="246"/>
      <c r="W20" s="204"/>
      <c r="X20" s="504"/>
    </row>
    <row r="21" spans="2:24" ht="18" customHeight="1">
      <c r="B21" s="245"/>
      <c r="C21" s="1209" t="s">
        <v>103</v>
      </c>
      <c r="D21" s="1210"/>
      <c r="E21" s="1215" t="s">
        <v>755</v>
      </c>
      <c r="F21" s="1215"/>
      <c r="G21" s="1216"/>
      <c r="H21" s="343">
        <f>intern!G45</f>
        <v>0</v>
      </c>
      <c r="I21" s="344">
        <f>intern!H45</f>
        <v>0</v>
      </c>
      <c r="J21" s="331" t="str">
        <f>IFERROR(I21/H21,"")</f>
        <v/>
      </c>
      <c r="K21" s="328"/>
      <c r="L21" s="202"/>
      <c r="M21" s="1209" t="s">
        <v>103</v>
      </c>
      <c r="N21" s="1210"/>
      <c r="O21" s="1215" t="s">
        <v>755</v>
      </c>
      <c r="P21" s="1215"/>
      <c r="Q21" s="1216"/>
      <c r="R21" s="343">
        <f>intern!Q45</f>
        <v>0</v>
      </c>
      <c r="S21" s="344">
        <f>intern!R45</f>
        <v>0</v>
      </c>
      <c r="T21" s="331" t="str">
        <f>IFERROR(S21/R21,"")</f>
        <v/>
      </c>
      <c r="U21" s="246"/>
      <c r="W21" s="204"/>
      <c r="X21" s="504"/>
    </row>
    <row r="22" spans="2:24" ht="18" customHeight="1">
      <c r="B22" s="245"/>
      <c r="C22" s="1211"/>
      <c r="D22" s="1133"/>
      <c r="E22" s="1207" t="s">
        <v>2</v>
      </c>
      <c r="F22" s="1207"/>
      <c r="G22" s="1208"/>
      <c r="H22" s="335">
        <f>intern!J45</f>
        <v>0</v>
      </c>
      <c r="I22" s="336">
        <f>intern!K45</f>
        <v>0</v>
      </c>
      <c r="J22" s="346" t="str">
        <f t="shared" ref="J22" si="4">IFERROR(I22/H22,"")</f>
        <v/>
      </c>
      <c r="K22" s="328"/>
      <c r="L22" s="202"/>
      <c r="M22" s="1211"/>
      <c r="N22" s="1133"/>
      <c r="O22" s="1207" t="s">
        <v>2</v>
      </c>
      <c r="P22" s="1207"/>
      <c r="Q22" s="1208"/>
      <c r="R22" s="335">
        <f>intern!T45</f>
        <v>0</v>
      </c>
      <c r="S22" s="336">
        <f>intern!U45</f>
        <v>0</v>
      </c>
      <c r="T22" s="346" t="str">
        <f t="shared" ref="T22" si="5">IFERROR(S22/R22,"")</f>
        <v/>
      </c>
      <c r="U22" s="246"/>
      <c r="W22" s="204"/>
      <c r="X22" s="504"/>
    </row>
    <row r="23" spans="2:24" ht="18" customHeight="1">
      <c r="B23" s="245"/>
      <c r="C23" s="1211"/>
      <c r="D23" s="1133"/>
      <c r="E23" s="1207" t="s">
        <v>0</v>
      </c>
      <c r="F23" s="1207"/>
      <c r="G23" s="1208"/>
      <c r="H23" s="338" t="s">
        <v>105</v>
      </c>
      <c r="I23" s="336">
        <f>intern!M45</f>
        <v>0</v>
      </c>
      <c r="J23" s="349" t="s">
        <v>105</v>
      </c>
      <c r="K23" s="328"/>
      <c r="L23" s="202"/>
      <c r="M23" s="1211"/>
      <c r="N23" s="1133"/>
      <c r="O23" s="1207" t="s">
        <v>0</v>
      </c>
      <c r="P23" s="1207"/>
      <c r="Q23" s="1208"/>
      <c r="R23" s="338" t="s">
        <v>105</v>
      </c>
      <c r="S23" s="336">
        <f>intern!W45</f>
        <v>0</v>
      </c>
      <c r="T23" s="349" t="s">
        <v>105</v>
      </c>
      <c r="U23" s="246"/>
      <c r="W23" s="204"/>
      <c r="X23" s="504"/>
    </row>
    <row r="24" spans="2:24" ht="18" customHeight="1" thickBot="1">
      <c r="B24" s="245"/>
      <c r="C24" s="1212"/>
      <c r="D24" s="1213"/>
      <c r="E24" s="1223" t="s">
        <v>104</v>
      </c>
      <c r="F24" s="1223"/>
      <c r="G24" s="1223"/>
      <c r="H24" s="347">
        <f>SUM(H21:H23)</f>
        <v>0</v>
      </c>
      <c r="I24" s="348">
        <f>SUM(I21:I23)</f>
        <v>0</v>
      </c>
      <c r="J24" s="342" t="str">
        <f>IFERROR(I24/H24,"")</f>
        <v/>
      </c>
      <c r="K24" s="328"/>
      <c r="L24" s="202"/>
      <c r="M24" s="1212"/>
      <c r="N24" s="1213"/>
      <c r="O24" s="1223" t="s">
        <v>104</v>
      </c>
      <c r="P24" s="1223"/>
      <c r="Q24" s="1223"/>
      <c r="R24" s="347">
        <f>SUM(R21:R23)</f>
        <v>0</v>
      </c>
      <c r="S24" s="348">
        <f>SUM(S21:S23)</f>
        <v>0</v>
      </c>
      <c r="T24" s="342" t="str">
        <f>IFERROR(S24/R24,"")</f>
        <v/>
      </c>
      <c r="U24" s="246"/>
      <c r="W24" s="204"/>
      <c r="X24" s="504"/>
    </row>
    <row r="25" spans="2:24" ht="18" customHeight="1">
      <c r="B25" s="245"/>
      <c r="C25" s="1209" t="s">
        <v>44</v>
      </c>
      <c r="D25" s="1210"/>
      <c r="E25" s="1215" t="s">
        <v>2</v>
      </c>
      <c r="F25" s="1215"/>
      <c r="G25" s="1216"/>
      <c r="H25" s="343">
        <f>intern!J46</f>
        <v>0</v>
      </c>
      <c r="I25" s="344">
        <f>intern!K46</f>
        <v>0</v>
      </c>
      <c r="J25" s="345" t="str">
        <f>IFERROR(I25/H25,"")</f>
        <v/>
      </c>
      <c r="K25" s="328"/>
      <c r="L25" s="202"/>
      <c r="M25" s="1209" t="s">
        <v>44</v>
      </c>
      <c r="N25" s="1210"/>
      <c r="O25" s="1215" t="s">
        <v>2</v>
      </c>
      <c r="P25" s="1215"/>
      <c r="Q25" s="1216"/>
      <c r="R25" s="343">
        <f>intern!T46</f>
        <v>0</v>
      </c>
      <c r="S25" s="344">
        <f>intern!U46</f>
        <v>0</v>
      </c>
      <c r="T25" s="345" t="str">
        <f>IFERROR(S25/R25,"")</f>
        <v/>
      </c>
      <c r="U25" s="246"/>
      <c r="W25" s="204"/>
      <c r="X25" s="504"/>
    </row>
    <row r="26" spans="2:24" ht="18" customHeight="1">
      <c r="B26" s="245"/>
      <c r="C26" s="1211"/>
      <c r="D26" s="1133"/>
      <c r="E26" s="1207" t="s">
        <v>0</v>
      </c>
      <c r="F26" s="1207"/>
      <c r="G26" s="1208"/>
      <c r="H26" s="338" t="s">
        <v>105</v>
      </c>
      <c r="I26" s="336">
        <f>intern!M46</f>
        <v>0</v>
      </c>
      <c r="J26" s="349" t="s">
        <v>105</v>
      </c>
      <c r="K26" s="328"/>
      <c r="L26" s="202"/>
      <c r="M26" s="1211"/>
      <c r="N26" s="1133"/>
      <c r="O26" s="1207" t="s">
        <v>0</v>
      </c>
      <c r="P26" s="1207"/>
      <c r="Q26" s="1208"/>
      <c r="R26" s="338" t="s">
        <v>105</v>
      </c>
      <c r="S26" s="336">
        <f>intern!W46</f>
        <v>0</v>
      </c>
      <c r="T26" s="349" t="s">
        <v>105</v>
      </c>
      <c r="U26" s="246"/>
      <c r="W26" s="204"/>
      <c r="X26" s="504"/>
    </row>
    <row r="27" spans="2:24" ht="18" customHeight="1" thickBot="1">
      <c r="B27" s="245"/>
      <c r="C27" s="1212"/>
      <c r="D27" s="1213"/>
      <c r="E27" s="1223" t="s">
        <v>104</v>
      </c>
      <c r="F27" s="1223"/>
      <c r="G27" s="1223"/>
      <c r="H27" s="340">
        <f>SUM(H25:H26)</f>
        <v>0</v>
      </c>
      <c r="I27" s="341">
        <f>SUM(I25:I26)</f>
        <v>0</v>
      </c>
      <c r="J27" s="342" t="str">
        <f>IFERROR(I27/H27,"")</f>
        <v/>
      </c>
      <c r="K27" s="328"/>
      <c r="L27" s="202"/>
      <c r="M27" s="1212"/>
      <c r="N27" s="1213"/>
      <c r="O27" s="1223" t="s">
        <v>104</v>
      </c>
      <c r="P27" s="1223"/>
      <c r="Q27" s="1223"/>
      <c r="R27" s="340">
        <f>SUM(R25:R26)</f>
        <v>0</v>
      </c>
      <c r="S27" s="341">
        <f>SUM(S25:S26)</f>
        <v>0</v>
      </c>
      <c r="T27" s="342" t="str">
        <f>IFERROR(S27/R27,"")</f>
        <v/>
      </c>
      <c r="U27" s="246"/>
      <c r="W27" s="204"/>
      <c r="X27" s="504"/>
    </row>
    <row r="28" spans="2:24" ht="18" customHeight="1">
      <c r="B28" s="245"/>
      <c r="C28" s="1217" t="s">
        <v>104</v>
      </c>
      <c r="D28" s="1218"/>
      <c r="E28" s="1215" t="s">
        <v>755</v>
      </c>
      <c r="F28" s="1215"/>
      <c r="G28" s="1216"/>
      <c r="H28" s="329">
        <f>H11+H16+H21</f>
        <v>0</v>
      </c>
      <c r="I28" s="350">
        <f>I11+I16+I21</f>
        <v>0</v>
      </c>
      <c r="J28" s="331" t="str">
        <f>IFERROR(I28/H28,"")</f>
        <v/>
      </c>
      <c r="K28" s="328"/>
      <c r="L28" s="202"/>
      <c r="M28" s="1217" t="s">
        <v>104</v>
      </c>
      <c r="N28" s="1218"/>
      <c r="O28" s="1215" t="s">
        <v>755</v>
      </c>
      <c r="P28" s="1215"/>
      <c r="Q28" s="1216"/>
      <c r="R28" s="329">
        <f>R11+R16+R21</f>
        <v>0</v>
      </c>
      <c r="S28" s="350">
        <f>S11+S16+S21</f>
        <v>0</v>
      </c>
      <c r="T28" s="331" t="str">
        <f>IFERROR(S28/R28,"")</f>
        <v/>
      </c>
      <c r="U28" s="246"/>
      <c r="W28" s="204"/>
      <c r="X28" s="504"/>
    </row>
    <row r="29" spans="2:24" ht="18" customHeight="1">
      <c r="B29" s="245"/>
      <c r="C29" s="1219"/>
      <c r="D29" s="1220"/>
      <c r="E29" s="1207" t="s">
        <v>756</v>
      </c>
      <c r="F29" s="1207"/>
      <c r="G29" s="1208"/>
      <c r="H29" s="335">
        <f>H12+H17</f>
        <v>0</v>
      </c>
      <c r="I29" s="351">
        <f>I12+I17</f>
        <v>0</v>
      </c>
      <c r="J29" s="337" t="str">
        <f t="shared" ref="J29:J30" si="6">IFERROR(I29/H29,"")</f>
        <v/>
      </c>
      <c r="K29" s="328"/>
      <c r="L29" s="202"/>
      <c r="M29" s="1219"/>
      <c r="N29" s="1220"/>
      <c r="O29" s="1207" t="s">
        <v>756</v>
      </c>
      <c r="P29" s="1207"/>
      <c r="Q29" s="1208"/>
      <c r="R29" s="335">
        <f>R12+R17</f>
        <v>0</v>
      </c>
      <c r="S29" s="351">
        <f>S12+S17</f>
        <v>0</v>
      </c>
      <c r="T29" s="337" t="str">
        <f t="shared" ref="T29:T30" si="7">IFERROR(S29/R29,"")</f>
        <v/>
      </c>
      <c r="U29" s="246"/>
      <c r="W29" s="204"/>
      <c r="X29" s="504"/>
    </row>
    <row r="30" spans="2:24" ht="18" customHeight="1">
      <c r="B30" s="245"/>
      <c r="C30" s="1219"/>
      <c r="D30" s="1220"/>
      <c r="E30" s="1207" t="s">
        <v>2</v>
      </c>
      <c r="F30" s="1207"/>
      <c r="G30" s="1208"/>
      <c r="H30" s="335">
        <f>H13+H18+H22+H25</f>
        <v>0</v>
      </c>
      <c r="I30" s="351">
        <f>I13+I18+I22+I25</f>
        <v>0</v>
      </c>
      <c r="J30" s="334" t="str">
        <f t="shared" si="6"/>
        <v/>
      </c>
      <c r="K30" s="328"/>
      <c r="L30" s="202"/>
      <c r="M30" s="1219"/>
      <c r="N30" s="1220"/>
      <c r="O30" s="1207" t="s">
        <v>2</v>
      </c>
      <c r="P30" s="1207"/>
      <c r="Q30" s="1208"/>
      <c r="R30" s="335">
        <f>R13+R18+R22+R25</f>
        <v>0</v>
      </c>
      <c r="S30" s="351">
        <f>S13+S18+S22+S25</f>
        <v>0</v>
      </c>
      <c r="T30" s="334" t="str">
        <f t="shared" si="7"/>
        <v/>
      </c>
      <c r="U30" s="246"/>
      <c r="W30" s="204"/>
      <c r="X30" s="504"/>
    </row>
    <row r="31" spans="2:24" ht="18" customHeight="1" thickBot="1">
      <c r="B31" s="245"/>
      <c r="C31" s="1219"/>
      <c r="D31" s="1220"/>
      <c r="E31" s="1287" t="s">
        <v>0</v>
      </c>
      <c r="F31" s="1287"/>
      <c r="G31" s="1287"/>
      <c r="H31" s="352" t="s">
        <v>105</v>
      </c>
      <c r="I31" s="353">
        <f>I14+I19+I23+I26</f>
        <v>0</v>
      </c>
      <c r="J31" s="354" t="s">
        <v>105</v>
      </c>
      <c r="K31" s="328"/>
      <c r="L31" s="202"/>
      <c r="M31" s="1219"/>
      <c r="N31" s="1220"/>
      <c r="O31" s="1287" t="s">
        <v>0</v>
      </c>
      <c r="P31" s="1287"/>
      <c r="Q31" s="1287"/>
      <c r="R31" s="352" t="s">
        <v>105</v>
      </c>
      <c r="S31" s="353">
        <f>S14+S19+S23+S26</f>
        <v>0</v>
      </c>
      <c r="T31" s="354" t="s">
        <v>105</v>
      </c>
      <c r="U31" s="246"/>
      <c r="W31" s="204"/>
      <c r="X31" s="504"/>
    </row>
    <row r="32" spans="2:24" ht="24" customHeight="1" thickBot="1">
      <c r="B32" s="245"/>
      <c r="C32" s="1221"/>
      <c r="D32" s="1222"/>
      <c r="E32" s="1223"/>
      <c r="F32" s="1223"/>
      <c r="G32" s="1288"/>
      <c r="H32" s="355">
        <f>SUM(H28:H31)</f>
        <v>0</v>
      </c>
      <c r="I32" s="356">
        <f>SUM(I28:I31)</f>
        <v>0</v>
      </c>
      <c r="J32" s="357" t="str">
        <f>IFERROR(I32/H32,"")</f>
        <v/>
      </c>
      <c r="K32" s="328"/>
      <c r="L32" s="202"/>
      <c r="M32" s="1221"/>
      <c r="N32" s="1222"/>
      <c r="O32" s="1223"/>
      <c r="P32" s="1223"/>
      <c r="Q32" s="1288"/>
      <c r="R32" s="355">
        <f>SUM(R28:R31)</f>
        <v>0</v>
      </c>
      <c r="S32" s="356">
        <f>SUM(S28:S31)</f>
        <v>0</v>
      </c>
      <c r="T32" s="357" t="str">
        <f>IFERROR(S32/R32,"")</f>
        <v/>
      </c>
      <c r="U32" s="246"/>
      <c r="W32" s="204"/>
      <c r="X32" s="504"/>
    </row>
    <row r="33" spans="1:24" ht="18" customHeight="1" thickBot="1">
      <c r="B33" s="247"/>
      <c r="C33" s="248"/>
      <c r="D33" s="248"/>
      <c r="E33" s="248"/>
      <c r="F33" s="248"/>
      <c r="G33" s="248"/>
      <c r="H33" s="248"/>
      <c r="I33" s="248"/>
      <c r="J33" s="248"/>
      <c r="K33" s="248"/>
      <c r="L33" s="248"/>
      <c r="M33" s="248"/>
      <c r="N33" s="248"/>
      <c r="O33" s="248"/>
      <c r="P33" s="248"/>
      <c r="Q33" s="248"/>
      <c r="R33" s="248"/>
      <c r="S33" s="248"/>
      <c r="T33" s="248"/>
      <c r="U33" s="249"/>
      <c r="W33" s="204"/>
      <c r="X33" s="504"/>
    </row>
    <row r="34" spans="1:24" ht="18" customHeight="1" thickBot="1">
      <c r="B34" s="358"/>
      <c r="C34" s="358"/>
      <c r="D34" s="358"/>
      <c r="E34" s="358"/>
      <c r="F34" s="358"/>
      <c r="G34" s="358"/>
      <c r="H34" s="358"/>
      <c r="I34" s="358"/>
      <c r="J34" s="358"/>
      <c r="K34" s="358"/>
      <c r="L34" s="358"/>
      <c r="M34" s="358"/>
      <c r="N34" s="358"/>
      <c r="O34" s="358"/>
      <c r="P34" s="358"/>
      <c r="Q34" s="358"/>
      <c r="R34" s="358"/>
      <c r="S34" s="358"/>
      <c r="T34" s="358"/>
      <c r="U34" s="358"/>
      <c r="W34" s="204"/>
      <c r="X34" s="504"/>
    </row>
    <row r="35" spans="1:24" ht="32" customHeight="1">
      <c r="A35" s="227"/>
      <c r="B35" s="256"/>
      <c r="C35" s="257" t="str">
        <f>IF(VA_VERKEHRSSTATION="","Bedarfsermittlung optimaler Stellplätze","Bedarfsermittlung optimaler Stellplätze für "&amp;VA_VERKEHRSSTATION)</f>
        <v>Bedarfsermittlung optimaler Stellplätze</v>
      </c>
      <c r="D35" s="258"/>
      <c r="E35" s="258"/>
      <c r="F35" s="258"/>
      <c r="G35" s="258"/>
      <c r="H35" s="258"/>
      <c r="I35" s="258"/>
      <c r="J35" s="258"/>
      <c r="K35" s="258"/>
      <c r="L35" s="258"/>
      <c r="M35" s="258"/>
      <c r="N35" s="258"/>
      <c r="O35" s="258"/>
      <c r="P35" s="258"/>
      <c r="Q35" s="258"/>
      <c r="R35" s="258"/>
      <c r="S35" s="258"/>
      <c r="T35" s="258"/>
      <c r="U35" s="259"/>
      <c r="W35" s="204"/>
      <c r="X35" s="504"/>
    </row>
    <row r="36" spans="1:24" ht="14" customHeight="1">
      <c r="A36" s="227"/>
      <c r="B36" s="254"/>
      <c r="U36" s="227"/>
      <c r="W36" s="204"/>
      <c r="X36" s="504"/>
    </row>
    <row r="37" spans="1:24" ht="24" customHeight="1">
      <c r="A37" s="227"/>
      <c r="B37" s="254"/>
      <c r="C37" s="1291" t="str">
        <f>IF(VA_BESTANDSEINGABE&lt;2,"Bedarfermittlung für zwei Bahnhofsseiten nicht aktiv","Bedarfermittlung für zwei Bahnhofsseiten")</f>
        <v>Bedarfermittlung für zwei Bahnhofsseiten nicht aktiv</v>
      </c>
      <c r="D37" s="1291"/>
      <c r="E37" s="1291"/>
      <c r="F37" s="1291"/>
      <c r="G37" s="1291"/>
      <c r="S37" s="359" t="str">
        <f>IF(VA_ZUGANG_2="","Bezeichnung der Bahnhofsseite fehlt   ↓",VA_ZUGANG_2&amp;"   ↓")</f>
        <v>Bezeichnung der Bahnhofsseite fehlt   ↓</v>
      </c>
      <c r="U37" s="360"/>
      <c r="W37" s="204"/>
      <c r="X37" s="504"/>
    </row>
    <row r="38" spans="1:24" ht="18" customHeight="1">
      <c r="A38" s="227"/>
      <c r="B38" s="254"/>
      <c r="C38" s="1130" t="s">
        <v>136</v>
      </c>
      <c r="D38" s="1131"/>
      <c r="E38" s="1131"/>
      <c r="F38" s="1131"/>
      <c r="G38" s="1132"/>
      <c r="O38" s="361" t="str">
        <f>IF(
VA_ZUSAMMEN=1,"Zusammenfassung beider Bahnhofsseiten   ↓",IF(
AND(OR(VA_BESTANDSEINGABE=0,VA_BESTANDSEINGABE=1),VA_VERKEHRSSTATION=""),"Bahnhofsname nicht eingegeben   ↓",IF(
AND(OR(VA_BESTANDSEINGABE=0,VA_BESTANDSEINGABE=1),VA_VERKEHRSSTATION&lt;&gt;""),VA_VERKEHRSSTATION&amp;"   ↓",IF(
VA_ZUGANG_1="","Bezeichnung der Bahnhofsseite fehlt   ↓",
VA_ZUGANG_1&amp;"   ↓"))))</f>
        <v>Zusammenfassung beider Bahnhofsseiten   ↓</v>
      </c>
      <c r="Q38" s="362"/>
      <c r="R38" s="363"/>
      <c r="T38" s="302"/>
      <c r="U38" s="227"/>
      <c r="W38" s="204"/>
      <c r="X38" s="504"/>
    </row>
    <row r="39" spans="1:24" ht="14" customHeight="1">
      <c r="A39" s="227"/>
      <c r="B39" s="236"/>
      <c r="C39" s="237"/>
      <c r="D39" s="237"/>
      <c r="E39" s="237"/>
      <c r="F39" s="237"/>
      <c r="G39" s="237"/>
      <c r="H39" s="237"/>
      <c r="I39" s="237"/>
      <c r="J39" s="237"/>
      <c r="K39" s="237"/>
      <c r="L39" s="237"/>
      <c r="M39" s="237"/>
      <c r="N39" s="237"/>
      <c r="O39" s="237"/>
      <c r="P39" s="304"/>
      <c r="Q39" s="237"/>
      <c r="R39" s="237"/>
      <c r="S39" s="237"/>
      <c r="T39" s="304"/>
      <c r="U39" s="239"/>
      <c r="W39" s="204"/>
      <c r="X39" s="504"/>
    </row>
    <row r="40" spans="1:24" ht="24" customHeight="1">
      <c r="A40" s="227"/>
      <c r="B40" s="290"/>
      <c r="C40" s="234" t="s">
        <v>10</v>
      </c>
      <c r="D40" s="272"/>
      <c r="E40" s="272"/>
      <c r="F40" s="272"/>
      <c r="G40" s="272"/>
      <c r="H40" s="272"/>
      <c r="I40" s="272"/>
      <c r="J40" s="272"/>
      <c r="K40" s="272"/>
      <c r="L40" s="272"/>
      <c r="M40" s="272"/>
      <c r="N40" s="272"/>
      <c r="O40" s="272"/>
      <c r="P40" s="272"/>
      <c r="Q40" s="272"/>
      <c r="R40" s="272"/>
      <c r="S40" s="272"/>
      <c r="T40" s="272"/>
      <c r="U40" s="235"/>
      <c r="W40" s="204"/>
      <c r="X40" s="504"/>
    </row>
    <row r="41" spans="1:24" ht="14" customHeight="1">
      <c r="A41" s="227"/>
      <c r="B41" s="254"/>
      <c r="L41" s="302"/>
      <c r="P41" s="302"/>
      <c r="T41" s="302"/>
      <c r="U41" s="227"/>
      <c r="W41" s="204"/>
      <c r="X41" s="504"/>
    </row>
    <row r="42" spans="1:24" ht="18" customHeight="1">
      <c r="A42" s="227"/>
      <c r="B42" s="254"/>
      <c r="C42" s="203" t="s">
        <v>242</v>
      </c>
      <c r="L42" s="302"/>
      <c r="N42" s="1214">
        <f>intern!K57</f>
        <v>0</v>
      </c>
      <c r="O42" s="1214"/>
      <c r="P42" s="302"/>
      <c r="R42" s="1214">
        <f>intern!U57</f>
        <v>0</v>
      </c>
      <c r="S42" s="1214"/>
      <c r="T42" s="302"/>
      <c r="U42" s="227"/>
      <c r="W42" s="204"/>
      <c r="X42" s="504"/>
    </row>
    <row r="43" spans="1:24" ht="4" customHeight="1">
      <c r="A43" s="227"/>
      <c r="B43" s="254"/>
      <c r="L43" s="302"/>
      <c r="P43" s="302"/>
      <c r="T43" s="302"/>
      <c r="U43" s="227"/>
      <c r="W43" s="204"/>
      <c r="X43" s="504"/>
    </row>
    <row r="44" spans="1:24" ht="18" customHeight="1">
      <c r="A44" s="227"/>
      <c r="B44" s="254"/>
      <c r="C44" s="203" t="s">
        <v>250</v>
      </c>
      <c r="L44" s="302"/>
      <c r="M44" s="683" t="s">
        <v>106</v>
      </c>
      <c r="N44" s="1214">
        <f>intern!E57</f>
        <v>0</v>
      </c>
      <c r="O44" s="1214"/>
      <c r="P44" s="302"/>
      <c r="Q44" s="683" t="s">
        <v>106</v>
      </c>
      <c r="R44" s="1214">
        <f>intern!O57</f>
        <v>0</v>
      </c>
      <c r="S44" s="1214"/>
      <c r="T44" s="302"/>
      <c r="U44" s="227"/>
      <c r="W44" s="204"/>
      <c r="X44" s="504"/>
    </row>
    <row r="45" spans="1:24" ht="4" customHeight="1">
      <c r="A45" s="227"/>
      <c r="B45" s="254"/>
      <c r="L45" s="302"/>
      <c r="P45" s="302"/>
      <c r="T45" s="302"/>
      <c r="U45" s="227"/>
      <c r="W45" s="204"/>
      <c r="X45" s="504"/>
    </row>
    <row r="46" spans="1:24" ht="18" customHeight="1">
      <c r="A46" s="227"/>
      <c r="B46" s="254"/>
      <c r="C46" s="260" t="s">
        <v>108</v>
      </c>
      <c r="L46" s="302"/>
      <c r="M46" s="683" t="s">
        <v>107</v>
      </c>
      <c r="N46" s="1214">
        <f>N42+N44</f>
        <v>0</v>
      </c>
      <c r="O46" s="1214"/>
      <c r="P46" s="302"/>
      <c r="Q46" s="683" t="s">
        <v>107</v>
      </c>
      <c r="R46" s="1214">
        <f>R42+R44</f>
        <v>0</v>
      </c>
      <c r="S46" s="1214"/>
      <c r="T46" s="302"/>
      <c r="U46" s="227"/>
      <c r="W46" s="204"/>
      <c r="X46" s="504"/>
    </row>
    <row r="47" spans="1:24" ht="7" customHeight="1">
      <c r="A47" s="227"/>
      <c r="B47" s="307"/>
      <c r="C47" s="364"/>
      <c r="D47" s="308"/>
      <c r="E47" s="308"/>
      <c r="F47" s="308"/>
      <c r="G47" s="308"/>
      <c r="H47" s="308"/>
      <c r="I47" s="308"/>
      <c r="J47" s="308"/>
      <c r="K47" s="308"/>
      <c r="L47" s="317"/>
      <c r="M47" s="365"/>
      <c r="N47" s="308"/>
      <c r="O47" s="308"/>
      <c r="P47" s="317"/>
      <c r="Q47" s="365"/>
      <c r="R47" s="308"/>
      <c r="S47" s="308"/>
      <c r="T47" s="317"/>
      <c r="U47" s="227"/>
      <c r="W47" s="204"/>
      <c r="X47" s="504"/>
    </row>
    <row r="48" spans="1:24" ht="7" customHeight="1">
      <c r="A48" s="227"/>
      <c r="B48" s="254"/>
      <c r="L48" s="302"/>
      <c r="P48" s="302"/>
      <c r="T48" s="302"/>
      <c r="U48" s="360"/>
      <c r="W48" s="204"/>
      <c r="X48" s="504"/>
    </row>
    <row r="49" spans="1:24" ht="18" customHeight="1">
      <c r="A49" s="227"/>
      <c r="B49" s="254"/>
      <c r="C49" s="203" t="s">
        <v>131</v>
      </c>
      <c r="L49" s="302"/>
      <c r="M49" s="683" t="s">
        <v>106</v>
      </c>
      <c r="N49" s="1214">
        <f>ROUNDUP(N46*0.4,0)</f>
        <v>0</v>
      </c>
      <c r="O49" s="1214"/>
      <c r="P49" s="302"/>
      <c r="Q49" s="683" t="s">
        <v>106</v>
      </c>
      <c r="R49" s="1214">
        <f>ROUNDUP(R46*0.4,0)</f>
        <v>0</v>
      </c>
      <c r="S49" s="1214"/>
      <c r="T49" s="302"/>
      <c r="U49" s="227"/>
      <c r="W49" s="204"/>
      <c r="X49" s="504"/>
    </row>
    <row r="50" spans="1:24" ht="4" customHeight="1">
      <c r="A50" s="227"/>
      <c r="B50" s="254"/>
      <c r="L50" s="302"/>
      <c r="P50" s="302"/>
      <c r="T50" s="302"/>
      <c r="U50" s="227"/>
      <c r="W50" s="204"/>
      <c r="X50" s="504"/>
    </row>
    <row r="51" spans="1:24" ht="18" customHeight="1">
      <c r="A51" s="227"/>
      <c r="B51" s="254"/>
      <c r="C51" s="260" t="s">
        <v>96</v>
      </c>
      <c r="L51" s="302"/>
      <c r="M51" s="683" t="s">
        <v>107</v>
      </c>
      <c r="N51" s="1214">
        <f>N46+N49</f>
        <v>0</v>
      </c>
      <c r="O51" s="1214"/>
      <c r="P51" s="302"/>
      <c r="Q51" s="683" t="s">
        <v>107</v>
      </c>
      <c r="R51" s="1214">
        <f>R46+R49</f>
        <v>0</v>
      </c>
      <c r="S51" s="1214"/>
      <c r="T51" s="302"/>
      <c r="U51" s="227"/>
      <c r="W51" s="204"/>
      <c r="X51" s="504"/>
    </row>
    <row r="52" spans="1:24" ht="7" customHeight="1">
      <c r="A52" s="227"/>
      <c r="B52" s="307"/>
      <c r="C52" s="364"/>
      <c r="D52" s="308"/>
      <c r="E52" s="308"/>
      <c r="F52" s="308"/>
      <c r="G52" s="308"/>
      <c r="H52" s="308"/>
      <c r="I52" s="308"/>
      <c r="J52" s="308"/>
      <c r="K52" s="308"/>
      <c r="L52" s="317"/>
      <c r="M52" s="365"/>
      <c r="N52" s="308"/>
      <c r="O52" s="308"/>
      <c r="P52" s="317"/>
      <c r="Q52" s="365"/>
      <c r="R52" s="308"/>
      <c r="S52" s="308"/>
      <c r="T52" s="317"/>
      <c r="U52" s="227"/>
      <c r="W52" s="204"/>
      <c r="X52" s="504"/>
    </row>
    <row r="53" spans="1:24" ht="7" customHeight="1">
      <c r="A53" s="227"/>
      <c r="B53" s="254"/>
      <c r="L53" s="302"/>
      <c r="P53" s="302"/>
      <c r="T53" s="302"/>
      <c r="U53" s="360"/>
      <c r="W53" s="204"/>
      <c r="X53" s="504"/>
    </row>
    <row r="54" spans="1:24" ht="18" customHeight="1">
      <c r="A54" s="227"/>
      <c r="B54" s="254"/>
      <c r="C54" s="203" t="s">
        <v>243</v>
      </c>
      <c r="L54" s="302"/>
      <c r="M54" s="683" t="s">
        <v>106</v>
      </c>
      <c r="N54" s="1214">
        <f>intern!E58</f>
        <v>0</v>
      </c>
      <c r="O54" s="1214"/>
      <c r="P54" s="302"/>
      <c r="Q54" s="683" t="s">
        <v>106</v>
      </c>
      <c r="R54" s="1214">
        <f>intern!O58</f>
        <v>0</v>
      </c>
      <c r="S54" s="1214"/>
      <c r="T54" s="302"/>
      <c r="U54" s="227"/>
      <c r="W54" s="204"/>
      <c r="X54" s="504"/>
    </row>
    <row r="55" spans="1:24" ht="4" customHeight="1">
      <c r="A55" s="227"/>
      <c r="B55" s="254"/>
      <c r="L55" s="302"/>
      <c r="P55" s="302"/>
      <c r="T55" s="302"/>
      <c r="U55" s="227"/>
      <c r="W55" s="204"/>
      <c r="X55" s="504"/>
    </row>
    <row r="56" spans="1:24" ht="18" customHeight="1">
      <c r="A56" s="227"/>
      <c r="B56" s="254"/>
      <c r="C56" s="260" t="s">
        <v>195</v>
      </c>
      <c r="L56" s="302"/>
      <c r="M56" s="683" t="s">
        <v>107</v>
      </c>
      <c r="N56" s="1290">
        <f>N51+N54</f>
        <v>0</v>
      </c>
      <c r="O56" s="1290"/>
      <c r="P56" s="302"/>
      <c r="Q56" s="683" t="s">
        <v>107</v>
      </c>
      <c r="R56" s="1290">
        <f>R51+R54</f>
        <v>0</v>
      </c>
      <c r="S56" s="1290"/>
      <c r="T56" s="302"/>
      <c r="U56" s="227"/>
      <c r="W56" s="204"/>
      <c r="X56" s="504"/>
    </row>
    <row r="57" spans="1:24" ht="14" customHeight="1">
      <c r="A57" s="227"/>
      <c r="B57" s="236"/>
      <c r="C57" s="237"/>
      <c r="D57" s="237"/>
      <c r="E57" s="237"/>
      <c r="F57" s="237"/>
      <c r="G57" s="237"/>
      <c r="H57" s="237"/>
      <c r="I57" s="237"/>
      <c r="J57" s="237"/>
      <c r="K57" s="237"/>
      <c r="L57" s="304"/>
      <c r="M57" s="237"/>
      <c r="N57" s="237"/>
      <c r="O57" s="237"/>
      <c r="P57" s="304"/>
      <c r="Q57" s="237"/>
      <c r="R57" s="237"/>
      <c r="S57" s="237"/>
      <c r="T57" s="304"/>
      <c r="U57" s="239"/>
      <c r="W57" s="204"/>
      <c r="X57" s="504"/>
    </row>
    <row r="58" spans="1:24" ht="24" customHeight="1">
      <c r="A58" s="227"/>
      <c r="B58" s="290"/>
      <c r="C58" s="234" t="s">
        <v>12</v>
      </c>
      <c r="D58" s="272"/>
      <c r="E58" s="272"/>
      <c r="F58" s="272"/>
      <c r="G58" s="272"/>
      <c r="H58" s="272"/>
      <c r="I58" s="272"/>
      <c r="J58" s="272"/>
      <c r="K58" s="272"/>
      <c r="L58" s="272"/>
      <c r="M58" s="272"/>
      <c r="N58" s="272"/>
      <c r="O58" s="272"/>
      <c r="P58" s="272"/>
      <c r="Q58" s="272"/>
      <c r="R58" s="272"/>
      <c r="S58" s="272"/>
      <c r="T58" s="272"/>
      <c r="U58" s="235"/>
      <c r="W58" s="204"/>
      <c r="X58" s="504"/>
    </row>
    <row r="59" spans="1:24" ht="14" customHeight="1">
      <c r="A59" s="227"/>
      <c r="B59" s="254"/>
      <c r="L59" s="302"/>
      <c r="P59" s="302"/>
      <c r="T59" s="302"/>
      <c r="U59" s="227"/>
      <c r="W59" s="204"/>
      <c r="X59" s="504"/>
    </row>
    <row r="60" spans="1:24" ht="18" customHeight="1">
      <c r="A60" s="227"/>
      <c r="B60" s="254"/>
      <c r="C60" s="203" t="str">
        <f>TBS_3a</f>
        <v>Trendfaktor ermittelt durch: keine Auswahl</v>
      </c>
      <c r="K60" s="684" t="str">
        <f>IFERROR(VA_TF-1,"")</f>
        <v/>
      </c>
      <c r="L60" s="302"/>
      <c r="P60" s="302"/>
      <c r="T60" s="302"/>
      <c r="U60" s="227"/>
      <c r="W60" s="204"/>
      <c r="X60" s="504"/>
    </row>
    <row r="61" spans="1:24" ht="4" customHeight="1">
      <c r="A61" s="227"/>
      <c r="B61" s="254"/>
      <c r="L61" s="302"/>
      <c r="P61" s="302"/>
      <c r="T61" s="302"/>
      <c r="U61" s="227"/>
      <c r="W61" s="204"/>
      <c r="X61" s="504"/>
    </row>
    <row r="62" spans="1:24" ht="18" customHeight="1">
      <c r="A62" s="227"/>
      <c r="B62" s="254"/>
      <c r="C62" s="203" t="str">
        <f>TBS_3b</f>
        <v>Anteil Umweltverbund (nur bei Bevölkerungsprognose relevant)</v>
      </c>
      <c r="K62" s="684" t="str">
        <f>IF(
VA_TFAUSWAHL&lt;&gt;3,"",IF(
VP_3_UVB-1=0,"0,0 %",
VP_3_UVB-1))</f>
        <v/>
      </c>
      <c r="L62" s="302"/>
      <c r="P62" s="302"/>
      <c r="T62" s="302"/>
      <c r="U62" s="227"/>
      <c r="W62" s="204"/>
      <c r="X62" s="504"/>
    </row>
    <row r="63" spans="1:24" ht="14" customHeight="1">
      <c r="A63" s="227"/>
      <c r="B63" s="254"/>
      <c r="L63" s="302"/>
      <c r="P63" s="302"/>
      <c r="T63" s="302"/>
      <c r="U63" s="227"/>
      <c r="W63" s="204"/>
      <c r="X63" s="504"/>
    </row>
    <row r="64" spans="1:24" ht="18" customHeight="1">
      <c r="A64" s="227"/>
      <c r="B64" s="254"/>
      <c r="C64" s="203" t="s">
        <v>110</v>
      </c>
      <c r="K64" s="685"/>
      <c r="L64" s="302"/>
      <c r="N64" s="1214">
        <f>N56</f>
        <v>0</v>
      </c>
      <c r="O64" s="1214"/>
      <c r="P64" s="302"/>
      <c r="R64" s="1214">
        <f>R56</f>
        <v>0</v>
      </c>
      <c r="S64" s="1214"/>
      <c r="T64" s="302"/>
      <c r="U64" s="227"/>
      <c r="W64" s="204"/>
      <c r="X64" s="504"/>
    </row>
    <row r="65" spans="1:24" ht="4" customHeight="1">
      <c r="A65" s="227"/>
      <c r="B65" s="254"/>
      <c r="L65" s="302"/>
      <c r="P65" s="302"/>
      <c r="T65" s="302"/>
      <c r="U65" s="227"/>
      <c r="W65" s="204"/>
      <c r="X65" s="504"/>
    </row>
    <row r="66" spans="1:24" ht="18" customHeight="1">
      <c r="A66" s="227"/>
      <c r="B66" s="254"/>
      <c r="C66" s="203" t="str">
        <f>IFERROR(TBS_3c,"Benötigte zusätzliche Stellplätze aufgrund Trendfaktor")</f>
        <v>Benötigte zusätzliche Stellplätze aufgrund Trendfaktor</v>
      </c>
      <c r="L66" s="302"/>
      <c r="M66" s="683" t="str">
        <f>IFERROR(IF((VA_TF*VP_3_UVB)&lt;1,"−","+"),"+")</f>
        <v>+</v>
      </c>
      <c r="N66" s="1214">
        <f>IFERROR(IF(
(ROUNDUP(N64*ROUND((VA_TF*VP_3_UVB)-1,4),0))&lt;0,
(ROUNDUP(N64*ROUND((VA_TF*VP_3_UVB)-1,4),0))*(-1),
(ROUNDUP(N64*ROUND((VA_TF*VP_3_UVB)-1,4),0))),
0)</f>
        <v>0</v>
      </c>
      <c r="O66" s="1214"/>
      <c r="P66" s="302"/>
      <c r="Q66" s="683" t="str">
        <f>IFERROR(IF((VA_TF*VP_3_UVB)&lt;1,"−","+"),"+")</f>
        <v>+</v>
      </c>
      <c r="R66" s="1214">
        <f>IFERROR(IF(
(ROUNDUP(R64*ROUND((VA_TF*VP_3_UVB)-1,4),0))&lt;0,
(ROUNDUP(R64*ROUND((VA_TF*VP_3_UVB)-1,4),0))*(-1),
(ROUNDUP(R64*ROUND((VA_TF*VP_3_UVB)-1,4),0))),
0)</f>
        <v>0</v>
      </c>
      <c r="S66" s="1214"/>
      <c r="T66" s="302"/>
      <c r="U66" s="227"/>
      <c r="W66" s="204"/>
      <c r="X66" s="504"/>
    </row>
    <row r="67" spans="1:24" ht="4" customHeight="1">
      <c r="A67" s="227"/>
      <c r="B67" s="254"/>
      <c r="L67" s="302"/>
      <c r="P67" s="302"/>
      <c r="T67" s="302"/>
      <c r="U67" s="227"/>
      <c r="W67" s="204"/>
      <c r="X67" s="504"/>
    </row>
    <row r="68" spans="1:24" ht="18" customHeight="1">
      <c r="A68" s="227"/>
      <c r="B68" s="254"/>
      <c r="C68" s="260" t="str">
        <f>TBS_3d</f>
        <v>Gesamtbedarf optimaler Stellplätze</v>
      </c>
      <c r="L68" s="302"/>
      <c r="M68" s="683" t="s">
        <v>107</v>
      </c>
      <c r="N68" s="1290">
        <f>IFERROR(IF(M66="+",N64+N66,N64-N66),0)</f>
        <v>0</v>
      </c>
      <c r="O68" s="1290"/>
      <c r="P68" s="302"/>
      <c r="Q68" s="683" t="s">
        <v>107</v>
      </c>
      <c r="R68" s="1290">
        <f>IFERROR(IF(Q66="+",R64+R66,R64-R66),0)</f>
        <v>0</v>
      </c>
      <c r="S68" s="1290"/>
      <c r="T68" s="302"/>
      <c r="U68" s="227"/>
      <c r="W68" s="204"/>
      <c r="X68" s="504"/>
    </row>
    <row r="69" spans="1:24" ht="14" customHeight="1">
      <c r="A69" s="227"/>
      <c r="B69" s="236"/>
      <c r="C69" s="237"/>
      <c r="D69" s="237"/>
      <c r="E69" s="237"/>
      <c r="F69" s="237"/>
      <c r="G69" s="237"/>
      <c r="H69" s="237"/>
      <c r="I69" s="237"/>
      <c r="J69" s="237"/>
      <c r="K69" s="237"/>
      <c r="L69" s="304"/>
      <c r="M69" s="237"/>
      <c r="N69" s="237"/>
      <c r="O69" s="237"/>
      <c r="P69" s="304"/>
      <c r="Q69" s="237"/>
      <c r="R69" s="237"/>
      <c r="S69" s="237"/>
      <c r="T69" s="304"/>
      <c r="U69" s="239"/>
      <c r="W69" s="204"/>
      <c r="X69" s="504"/>
    </row>
    <row r="70" spans="1:24" ht="24" customHeight="1">
      <c r="A70" s="227"/>
      <c r="B70" s="290"/>
      <c r="C70" s="234" t="s">
        <v>114</v>
      </c>
      <c r="D70" s="272"/>
      <c r="E70" s="272"/>
      <c r="F70" s="272"/>
      <c r="G70" s="272"/>
      <c r="H70" s="272"/>
      <c r="I70" s="272"/>
      <c r="J70" s="272"/>
      <c r="K70" s="272"/>
      <c r="L70" s="272"/>
      <c r="M70" s="272"/>
      <c r="N70" s="272"/>
      <c r="O70" s="272"/>
      <c r="P70" s="272"/>
      <c r="Q70" s="272"/>
      <c r="R70" s="272"/>
      <c r="S70" s="272"/>
      <c r="T70" s="272"/>
      <c r="U70" s="235"/>
      <c r="W70" s="204"/>
      <c r="X70" s="504"/>
    </row>
    <row r="71" spans="1:24" ht="14" customHeight="1">
      <c r="A71" s="227"/>
      <c r="B71" s="254"/>
      <c r="L71" s="302"/>
      <c r="P71" s="302"/>
      <c r="T71" s="302"/>
      <c r="U71" s="227"/>
      <c r="W71" s="204"/>
      <c r="X71" s="504"/>
    </row>
    <row r="72" spans="1:24" ht="18" customHeight="1">
      <c r="A72" s="227"/>
      <c r="B72" s="254"/>
      <c r="C72" s="203" t="s">
        <v>198</v>
      </c>
      <c r="L72" s="302"/>
      <c r="M72" s="683"/>
      <c r="N72" s="1214">
        <f>N68</f>
        <v>0</v>
      </c>
      <c r="O72" s="1214"/>
      <c r="P72" s="302"/>
      <c r="Q72" s="683"/>
      <c r="R72" s="1214">
        <f>R68</f>
        <v>0</v>
      </c>
      <c r="S72" s="1214"/>
      <c r="T72" s="302"/>
      <c r="U72" s="227"/>
      <c r="W72" s="204"/>
      <c r="X72" s="504"/>
    </row>
    <row r="73" spans="1:24" ht="4" customHeight="1">
      <c r="A73" s="227"/>
      <c r="B73" s="254"/>
      <c r="L73" s="302"/>
      <c r="M73" s="683"/>
      <c r="P73" s="302"/>
      <c r="Q73" s="683"/>
      <c r="T73" s="302"/>
      <c r="U73" s="227"/>
      <c r="W73" s="204"/>
      <c r="X73" s="504"/>
    </row>
    <row r="74" spans="1:24" ht="18" customHeight="1">
      <c r="A74" s="227"/>
      <c r="B74" s="254"/>
      <c r="C74" s="203" t="s">
        <v>111</v>
      </c>
      <c r="L74" s="302"/>
      <c r="M74" s="683" t="s">
        <v>112</v>
      </c>
      <c r="N74" s="1214">
        <f>intern!D56</f>
        <v>0</v>
      </c>
      <c r="O74" s="1214"/>
      <c r="P74" s="302"/>
      <c r="Q74" s="683" t="s">
        <v>112</v>
      </c>
      <c r="R74" s="1214">
        <f>intern!N56</f>
        <v>0</v>
      </c>
      <c r="S74" s="1214"/>
      <c r="T74" s="302"/>
      <c r="U74" s="227"/>
      <c r="W74" s="204"/>
      <c r="X74" s="504"/>
    </row>
    <row r="75" spans="1:24" ht="4" customHeight="1">
      <c r="A75" s="227"/>
      <c r="B75" s="254"/>
      <c r="L75" s="302"/>
      <c r="M75" s="683"/>
      <c r="P75" s="302"/>
      <c r="Q75" s="683"/>
      <c r="T75" s="302"/>
      <c r="U75" s="227"/>
      <c r="W75" s="204"/>
      <c r="X75" s="504"/>
    </row>
    <row r="76" spans="1:24" ht="18" customHeight="1">
      <c r="A76" s="227"/>
      <c r="B76" s="254"/>
      <c r="C76" s="260" t="s">
        <v>113</v>
      </c>
      <c r="L76" s="302"/>
      <c r="M76" s="683" t="s">
        <v>107</v>
      </c>
      <c r="N76" s="1214">
        <f>IF(N72-N74&lt;0,0,N72-N74)</f>
        <v>0</v>
      </c>
      <c r="O76" s="1214"/>
      <c r="P76" s="302"/>
      <c r="Q76" s="683" t="s">
        <v>107</v>
      </c>
      <c r="R76" s="1214">
        <f>IF(R72-R74&lt;0,0,R72-R74)</f>
        <v>0</v>
      </c>
      <c r="S76" s="1214"/>
      <c r="T76" s="302"/>
      <c r="U76" s="227"/>
      <c r="W76" s="204"/>
      <c r="X76" s="504"/>
    </row>
    <row r="77" spans="1:24" ht="7" customHeight="1">
      <c r="A77" s="227"/>
      <c r="B77" s="307"/>
      <c r="C77" s="308"/>
      <c r="D77" s="308"/>
      <c r="E77" s="308"/>
      <c r="F77" s="308"/>
      <c r="G77" s="308"/>
      <c r="H77" s="308"/>
      <c r="I77" s="308"/>
      <c r="J77" s="308"/>
      <c r="K77" s="308"/>
      <c r="L77" s="317"/>
      <c r="M77" s="308"/>
      <c r="N77" s="308"/>
      <c r="O77" s="308"/>
      <c r="P77" s="317"/>
      <c r="Q77" s="308"/>
      <c r="R77" s="308"/>
      <c r="S77" s="308"/>
      <c r="T77" s="317"/>
      <c r="U77" s="310"/>
      <c r="W77" s="204"/>
      <c r="X77" s="504"/>
    </row>
    <row r="78" spans="1:24" ht="7" customHeight="1">
      <c r="A78" s="227"/>
      <c r="B78" s="254"/>
      <c r="L78" s="320"/>
      <c r="P78" s="320"/>
      <c r="T78" s="320"/>
      <c r="U78" s="227"/>
      <c r="W78" s="204"/>
      <c r="X78" s="504"/>
    </row>
    <row r="79" spans="1:24" ht="18" customHeight="1">
      <c r="A79" s="227"/>
      <c r="B79" s="254"/>
      <c r="C79" s="203" t="str">
        <f>"Erstmalige Errichtung gesicherter Stellplätze am Bahnhof / Haltepunkt"&amp;IF(VP_5_ERSTMALIGSICHER=0,"  (Option nicht gewählt)","")</f>
        <v>Erstmalige Errichtung gesicherter Stellplätze am Bahnhof / Haltepunkt  (Option nicht gewählt)</v>
      </c>
      <c r="L79" s="302"/>
      <c r="O79" s="686" t="s">
        <v>27</v>
      </c>
      <c r="P79" s="302"/>
      <c r="S79" s="686" t="s">
        <v>27</v>
      </c>
      <c r="T79" s="302"/>
      <c r="U79" s="227"/>
      <c r="W79" s="204"/>
      <c r="X79" s="504"/>
    </row>
    <row r="80" spans="1:24" ht="4" customHeight="1">
      <c r="A80" s="227"/>
      <c r="B80" s="254"/>
      <c r="L80" s="302"/>
      <c r="M80" s="683"/>
      <c r="O80" s="687"/>
      <c r="P80" s="302"/>
      <c r="Q80" s="683"/>
      <c r="R80" s="390"/>
      <c r="S80" s="687"/>
      <c r="T80" s="302"/>
      <c r="U80" s="227"/>
      <c r="W80" s="204"/>
      <c r="X80" s="504"/>
    </row>
    <row r="81" spans="1:24" ht="18" customHeight="1">
      <c r="A81" s="227"/>
      <c r="B81" s="254"/>
      <c r="C81" s="203" t="s">
        <v>757</v>
      </c>
      <c r="L81" s="302"/>
      <c r="N81" s="688"/>
      <c r="O81" s="689">
        <v>24</v>
      </c>
      <c r="P81" s="302"/>
      <c r="S81" s="689">
        <v>24</v>
      </c>
      <c r="T81" s="302"/>
      <c r="U81" s="227"/>
      <c r="W81" s="204"/>
      <c r="X81" s="504"/>
    </row>
    <row r="82" spans="1:24" ht="4" customHeight="1">
      <c r="A82" s="227"/>
      <c r="B82" s="254"/>
      <c r="L82" s="302"/>
      <c r="M82" s="683"/>
      <c r="N82" s="390"/>
      <c r="O82" s="390"/>
      <c r="P82" s="302"/>
      <c r="Q82" s="683"/>
      <c r="R82" s="390"/>
      <c r="S82" s="390"/>
      <c r="T82" s="302"/>
      <c r="U82" s="227"/>
      <c r="W82" s="204"/>
      <c r="X82" s="504"/>
    </row>
    <row r="83" spans="1:24" ht="18" customHeight="1">
      <c r="A83" s="227"/>
      <c r="B83" s="254"/>
      <c r="C83" s="203" t="s">
        <v>244</v>
      </c>
      <c r="L83" s="302"/>
      <c r="M83" s="683" t="s">
        <v>106</v>
      </c>
      <c r="N83" s="1133">
        <f>IF(AND(VP_5_ERSTMALIGSICHER=1,N76&lt;24),24-N76,0)</f>
        <v>0</v>
      </c>
      <c r="O83" s="1133"/>
      <c r="P83" s="302"/>
      <c r="Q83" s="683" t="s">
        <v>106</v>
      </c>
      <c r="R83" s="1133">
        <f>IF(AND(VP_5_ERSTMALIGSICHER=1,R76&lt;24),24-R76,0)</f>
        <v>0</v>
      </c>
      <c r="S83" s="1133"/>
      <c r="T83" s="302"/>
      <c r="U83" s="227"/>
      <c r="W83" s="204"/>
      <c r="X83" s="504"/>
    </row>
    <row r="84" spans="1:24" ht="14" customHeight="1">
      <c r="A84" s="227"/>
      <c r="B84" s="254"/>
      <c r="L84" s="302"/>
      <c r="M84" s="683"/>
      <c r="N84" s="390"/>
      <c r="O84" s="390"/>
      <c r="P84" s="302"/>
      <c r="Q84" s="683"/>
      <c r="R84" s="390"/>
      <c r="S84" s="390"/>
      <c r="T84" s="302"/>
      <c r="U84" s="227"/>
      <c r="W84" s="204"/>
      <c r="X84" s="504"/>
    </row>
    <row r="85" spans="1:24" ht="18" customHeight="1">
      <c r="A85" s="227"/>
      <c r="B85" s="254"/>
      <c r="C85" s="203" t="s">
        <v>758</v>
      </c>
      <c r="L85" s="302"/>
      <c r="P85" s="302"/>
      <c r="T85" s="302"/>
      <c r="U85" s="227"/>
      <c r="W85" s="204"/>
      <c r="X85" s="504"/>
    </row>
    <row r="86" spans="1:24" ht="4" customHeight="1">
      <c r="A86" s="227"/>
      <c r="B86" s="254"/>
      <c r="L86" s="302"/>
      <c r="P86" s="302"/>
      <c r="T86" s="302"/>
      <c r="U86" s="227"/>
      <c r="W86" s="204"/>
      <c r="X86" s="504"/>
    </row>
    <row r="87" spans="1:24" ht="18" customHeight="1">
      <c r="A87" s="227"/>
      <c r="B87" s="254"/>
      <c r="C87" s="203" t="str">
        <f>"  ▪   Diebstahl- und Vandalismusschwerpunkt"&amp;IF(VP_5_DIEBSTAHL&gt;1," (+ 15 % von Baubedarf)","")</f>
        <v xml:space="preserve">  ▪   Diebstahl- und Vandalismusschwerpunkt</v>
      </c>
      <c r="L87" s="302"/>
      <c r="M87" s="683" t="s">
        <v>106</v>
      </c>
      <c r="N87" s="1289">
        <f>ROUNDUP((N76+N83)*(VP_5_DIEBSTAHL-1),0)</f>
        <v>0</v>
      </c>
      <c r="O87" s="1289"/>
      <c r="P87" s="302"/>
      <c r="Q87" s="683" t="s">
        <v>106</v>
      </c>
      <c r="R87" s="1289">
        <f>ROUNDUP((R76+R83)*(VP_5_DIEBSTAHL-1),0)</f>
        <v>0</v>
      </c>
      <c r="S87" s="1289"/>
      <c r="T87" s="302"/>
      <c r="U87" s="227"/>
      <c r="W87" s="204"/>
      <c r="X87" s="504"/>
    </row>
    <row r="88" spans="1:24" ht="4" customHeight="1">
      <c r="A88" s="227"/>
      <c r="B88" s="254"/>
      <c r="L88" s="302"/>
      <c r="P88" s="302"/>
      <c r="T88" s="302"/>
      <c r="U88" s="227"/>
      <c r="W88" s="204"/>
      <c r="X88" s="504"/>
    </row>
    <row r="89" spans="1:24" ht="18" customHeight="1">
      <c r="A89" s="227"/>
      <c r="B89" s="254"/>
      <c r="C89" s="203" t="str">
        <f>"  ▪   entgeltfreie Nutzung gesicherter Stellplätze"&amp;IF(VP_5_ENTGELTFREI&gt;1," (+ 15 % von Baubadarf)","")</f>
        <v xml:space="preserve">  ▪   entgeltfreie Nutzung gesicherter Stellplätze</v>
      </c>
      <c r="L89" s="302"/>
      <c r="M89" s="683" t="s">
        <v>106</v>
      </c>
      <c r="N89" s="1289">
        <f>ROUNDUP((N76+N83)*(VP_5_ENTGELTFREI-1),0)</f>
        <v>0</v>
      </c>
      <c r="O89" s="1289"/>
      <c r="P89" s="302"/>
      <c r="Q89" s="683" t="s">
        <v>106</v>
      </c>
      <c r="R89" s="1289">
        <f>ROUNDUP((R76+R83)*(VP_5_ENTGELTFREI-1),0)</f>
        <v>0</v>
      </c>
      <c r="S89" s="1289"/>
      <c r="T89" s="302"/>
      <c r="U89" s="227"/>
      <c r="W89" s="204"/>
      <c r="X89" s="504"/>
    </row>
    <row r="90" spans="1:24" ht="4" customHeight="1">
      <c r="A90" s="227"/>
      <c r="B90" s="254"/>
      <c r="L90" s="302"/>
      <c r="P90" s="302"/>
      <c r="T90" s="302"/>
      <c r="U90" s="227"/>
      <c r="W90" s="204"/>
      <c r="X90" s="504"/>
    </row>
    <row r="91" spans="1:24" ht="18" customHeight="1">
      <c r="A91" s="227"/>
      <c r="B91" s="254"/>
      <c r="C91" s="203" t="str">
        <f>"  ▪   starker Pendlerbahnhof mit erhöhtem Nachtabstellungsbedarf"&amp;IF(VP_5_PENDLER&gt;1," (+ 15 % von Baubedarf)","")</f>
        <v xml:space="preserve">  ▪   starker Pendlerbahnhof mit erhöhtem Nachtabstellungsbedarf</v>
      </c>
      <c r="L91" s="302"/>
      <c r="M91" s="683" t="s">
        <v>106</v>
      </c>
      <c r="N91" s="1289">
        <f>ROUNDUP((N76+N83)*(VP_5_PENDLER-1),0)</f>
        <v>0</v>
      </c>
      <c r="O91" s="1289"/>
      <c r="P91" s="302"/>
      <c r="Q91" s="683" t="s">
        <v>106</v>
      </c>
      <c r="R91" s="1289">
        <f>ROUNDUP((R76+R83)*(VP_5_PENDLER-1),0)</f>
        <v>0</v>
      </c>
      <c r="S91" s="1289"/>
      <c r="T91" s="302"/>
      <c r="U91" s="227"/>
      <c r="W91" s="204"/>
      <c r="X91" s="504"/>
    </row>
    <row r="92" spans="1:24" ht="7" customHeight="1">
      <c r="A92" s="227"/>
      <c r="B92" s="307"/>
      <c r="C92" s="308"/>
      <c r="D92" s="308"/>
      <c r="E92" s="308"/>
      <c r="F92" s="308"/>
      <c r="G92" s="308"/>
      <c r="H92" s="308"/>
      <c r="I92" s="308"/>
      <c r="J92" s="308"/>
      <c r="K92" s="308"/>
      <c r="L92" s="317"/>
      <c r="M92" s="308"/>
      <c r="N92" s="308"/>
      <c r="O92" s="308"/>
      <c r="P92" s="317"/>
      <c r="Q92" s="308"/>
      <c r="R92" s="308"/>
      <c r="S92" s="308"/>
      <c r="T92" s="317"/>
      <c r="U92" s="227"/>
      <c r="W92" s="204"/>
      <c r="X92" s="504"/>
    </row>
    <row r="93" spans="1:24" ht="7" customHeight="1">
      <c r="A93" s="227"/>
      <c r="B93" s="254"/>
      <c r="L93" s="302"/>
      <c r="P93" s="302"/>
      <c r="T93" s="302"/>
      <c r="U93" s="227"/>
      <c r="W93" s="204"/>
      <c r="X93" s="504"/>
    </row>
    <row r="94" spans="1:24" ht="18" customHeight="1">
      <c r="A94" s="227"/>
      <c r="B94" s="254"/>
      <c r="C94" s="203" t="s">
        <v>149</v>
      </c>
      <c r="L94" s="302"/>
      <c r="M94" s="683" t="s">
        <v>106</v>
      </c>
      <c r="N94" s="1214">
        <f>IF(VA_ZUSAMMEN=0,VE_VERLEGUNG_1,intern!J52)</f>
        <v>0</v>
      </c>
      <c r="O94" s="1214"/>
      <c r="P94" s="302"/>
      <c r="Q94" s="683" t="s">
        <v>106</v>
      </c>
      <c r="R94" s="1214">
        <f>VE_VERLEGUNG_2</f>
        <v>0</v>
      </c>
      <c r="S94" s="1214"/>
      <c r="T94" s="302"/>
      <c r="U94" s="227"/>
      <c r="W94" s="204"/>
      <c r="X94" s="504"/>
    </row>
    <row r="95" spans="1:24" ht="14" customHeight="1">
      <c r="A95" s="227"/>
      <c r="B95" s="254"/>
      <c r="L95" s="302"/>
      <c r="P95" s="302"/>
      <c r="T95" s="302"/>
      <c r="U95" s="227"/>
      <c r="W95" s="204"/>
      <c r="X95" s="504"/>
    </row>
    <row r="96" spans="1:24" ht="24" customHeight="1">
      <c r="A96" s="227"/>
      <c r="B96" s="690"/>
      <c r="C96" s="691" t="s">
        <v>115</v>
      </c>
      <c r="D96" s="692"/>
      <c r="E96" s="692"/>
      <c r="F96" s="692"/>
      <c r="G96" s="692"/>
      <c r="H96" s="692"/>
      <c r="I96" s="692"/>
      <c r="J96" s="692"/>
      <c r="K96" s="692"/>
      <c r="L96" s="366"/>
      <c r="M96" s="693" t="s">
        <v>107</v>
      </c>
      <c r="N96" s="1296">
        <f>N76+N83+N87+N89+N91+N94</f>
        <v>0</v>
      </c>
      <c r="O96" s="1296"/>
      <c r="P96" s="366"/>
      <c r="Q96" s="693" t="s">
        <v>107</v>
      </c>
      <c r="R96" s="1296">
        <f>R76+R83+R87+R89+R91+R94</f>
        <v>0</v>
      </c>
      <c r="S96" s="1296"/>
      <c r="T96" s="366"/>
      <c r="U96" s="227"/>
      <c r="W96" s="204"/>
      <c r="X96" s="504"/>
    </row>
    <row r="97" spans="1:24" ht="4" customHeight="1">
      <c r="A97" s="227"/>
      <c r="B97" s="254"/>
      <c r="L97" s="302"/>
      <c r="M97" s="683"/>
      <c r="N97" s="694"/>
      <c r="O97" s="694"/>
      <c r="P97" s="302"/>
      <c r="Q97" s="683"/>
      <c r="R97" s="694"/>
      <c r="S97" s="694"/>
      <c r="T97" s="302"/>
      <c r="U97" s="227"/>
      <c r="W97" s="204"/>
      <c r="X97" s="504"/>
    </row>
    <row r="98" spans="1:24" ht="18" customHeight="1">
      <c r="A98" s="227"/>
      <c r="B98" s="254"/>
      <c r="C98" s="695" t="s">
        <v>759</v>
      </c>
      <c r="L98" s="302"/>
      <c r="M98" s="683"/>
      <c r="N98" s="1289">
        <f>IF(VP_5_ERSTMALIGSICHER=1,24,0)+N87+N89+N91</f>
        <v>0</v>
      </c>
      <c r="O98" s="1289"/>
      <c r="P98" s="302"/>
      <c r="Q98" s="683"/>
      <c r="R98" s="1289">
        <f>IF(VP_5_ERSTMALIGSICHER=1,24,0)+R87+R89+R91</f>
        <v>0</v>
      </c>
      <c r="S98" s="1289"/>
      <c r="T98" s="302"/>
      <c r="U98" s="227"/>
      <c r="W98" s="204"/>
      <c r="X98" s="504"/>
    </row>
    <row r="99" spans="1:24" ht="14" customHeight="1" thickBot="1">
      <c r="A99" s="227"/>
      <c r="B99" s="255"/>
      <c r="C99" s="240"/>
      <c r="D99" s="240"/>
      <c r="E99" s="240"/>
      <c r="F99" s="240"/>
      <c r="G99" s="240"/>
      <c r="H99" s="240"/>
      <c r="I99" s="240"/>
      <c r="J99" s="240"/>
      <c r="K99" s="240"/>
      <c r="L99" s="322"/>
      <c r="M99" s="240"/>
      <c r="N99" s="240"/>
      <c r="O99" s="240"/>
      <c r="P99" s="322"/>
      <c r="Q99" s="240"/>
      <c r="R99" s="240"/>
      <c r="S99" s="240"/>
      <c r="T99" s="322"/>
      <c r="U99" s="241"/>
      <c r="W99" s="204"/>
      <c r="X99" s="504"/>
    </row>
    <row r="100" spans="1:24" ht="18" customHeight="1" thickBot="1">
      <c r="B100" s="358"/>
      <c r="C100" s="358"/>
      <c r="D100" s="358"/>
      <c r="E100" s="358"/>
      <c r="F100" s="358"/>
      <c r="G100" s="358"/>
      <c r="H100" s="358"/>
      <c r="I100" s="358"/>
      <c r="J100" s="358"/>
      <c r="K100" s="358"/>
      <c r="L100" s="358"/>
      <c r="M100" s="358"/>
      <c r="N100" s="358"/>
      <c r="O100" s="358"/>
      <c r="P100" s="358"/>
      <c r="Q100" s="358"/>
      <c r="R100" s="358"/>
      <c r="S100" s="358"/>
      <c r="T100" s="358"/>
      <c r="U100" s="358"/>
      <c r="W100" s="204"/>
      <c r="X100" s="504"/>
    </row>
    <row r="101" spans="1:24" ht="32" customHeight="1">
      <c r="A101" s="227"/>
      <c r="B101" s="256"/>
      <c r="C101" s="257" t="s">
        <v>290</v>
      </c>
      <c r="D101" s="258"/>
      <c r="E101" s="258"/>
      <c r="F101" s="258"/>
      <c r="G101" s="258"/>
      <c r="H101" s="258"/>
      <c r="I101" s="258"/>
      <c r="J101" s="258"/>
      <c r="K101" s="258"/>
      <c r="L101" s="258"/>
      <c r="M101" s="258"/>
      <c r="N101" s="258"/>
      <c r="O101" s="258"/>
      <c r="P101" s="258"/>
      <c r="Q101" s="258"/>
      <c r="R101" s="258"/>
      <c r="S101" s="258"/>
      <c r="T101" s="258"/>
      <c r="U101" s="367"/>
      <c r="W101" s="204"/>
      <c r="X101" s="504"/>
    </row>
    <row r="102" spans="1:24" ht="14" customHeight="1">
      <c r="A102" s="227"/>
      <c r="B102" s="245"/>
      <c r="C102" s="202"/>
      <c r="D102" s="202"/>
      <c r="E102" s="202"/>
      <c r="F102" s="202"/>
      <c r="G102" s="202"/>
      <c r="H102" s="202"/>
      <c r="I102" s="202"/>
      <c r="J102" s="202"/>
      <c r="K102" s="202"/>
      <c r="L102" s="202"/>
      <c r="M102" s="202"/>
      <c r="N102" s="202"/>
      <c r="O102" s="202"/>
      <c r="P102" s="202"/>
      <c r="Q102" s="202"/>
      <c r="R102" s="202"/>
      <c r="S102" s="202"/>
      <c r="T102" s="202"/>
      <c r="U102" s="246"/>
      <c r="W102" s="204"/>
      <c r="X102" s="504"/>
    </row>
    <row r="103" spans="1:24" ht="18" customHeight="1">
      <c r="A103" s="227"/>
      <c r="B103" s="245"/>
      <c r="C103" s="202" t="s">
        <v>301</v>
      </c>
      <c r="D103" s="202"/>
      <c r="E103" s="202"/>
      <c r="F103" s="202"/>
      <c r="G103" s="202"/>
      <c r="H103" s="202"/>
      <c r="I103" s="202"/>
      <c r="J103" s="202"/>
      <c r="K103" s="202"/>
      <c r="L103" s="202"/>
      <c r="M103" s="202"/>
      <c r="N103" s="202"/>
      <c r="O103" s="202"/>
      <c r="P103" s="202"/>
      <c r="Q103" s="202"/>
      <c r="R103" s="202"/>
      <c r="S103" s="202"/>
      <c r="T103" s="202"/>
      <c r="U103" s="246"/>
      <c r="W103" s="204"/>
      <c r="X103" s="504"/>
    </row>
    <row r="104" spans="1:24" ht="6" customHeight="1">
      <c r="A104" s="227"/>
      <c r="B104" s="245"/>
      <c r="C104" s="202"/>
      <c r="D104" s="202"/>
      <c r="E104" s="202"/>
      <c r="F104" s="202"/>
      <c r="G104" s="202"/>
      <c r="H104" s="202"/>
      <c r="I104" s="202"/>
      <c r="J104" s="202"/>
      <c r="K104" s="202"/>
      <c r="L104" s="202"/>
      <c r="M104" s="202"/>
      <c r="N104" s="202"/>
      <c r="O104" s="202"/>
      <c r="P104" s="202"/>
      <c r="Q104" s="202"/>
      <c r="R104" s="202"/>
      <c r="S104" s="202"/>
      <c r="T104" s="202"/>
      <c r="U104" s="246"/>
      <c r="W104" s="204"/>
      <c r="X104" s="504"/>
    </row>
    <row r="105" spans="1:24" ht="18" customHeight="1">
      <c r="A105" s="227"/>
      <c r="B105" s="245"/>
      <c r="C105" s="883" t="s">
        <v>723</v>
      </c>
      <c r="D105" s="202"/>
      <c r="E105" s="202"/>
      <c r="F105" s="202"/>
      <c r="G105" s="202"/>
      <c r="H105" s="202"/>
      <c r="I105" s="202"/>
      <c r="J105" s="202"/>
      <c r="K105" s="202"/>
      <c r="L105" s="202"/>
      <c r="M105" s="202"/>
      <c r="N105" s="202"/>
      <c r="O105" s="202"/>
      <c r="P105" s="202"/>
      <c r="Q105" s="202"/>
      <c r="R105" s="202"/>
      <c r="S105" s="202"/>
      <c r="T105" s="202"/>
      <c r="U105" s="246"/>
      <c r="W105" s="204"/>
      <c r="X105" s="504"/>
    </row>
    <row r="106" spans="1:24" ht="14" customHeight="1">
      <c r="A106" s="227"/>
      <c r="B106" s="245"/>
      <c r="C106" s="202"/>
      <c r="D106" s="202"/>
      <c r="E106" s="202"/>
      <c r="F106" s="202"/>
      <c r="G106" s="202"/>
      <c r="H106" s="202"/>
      <c r="I106" s="202"/>
      <c r="J106" s="202"/>
      <c r="K106" s="202"/>
      <c r="L106" s="202"/>
      <c r="M106" s="202"/>
      <c r="N106" s="202"/>
      <c r="O106" s="202"/>
      <c r="P106" s="202"/>
      <c r="Q106" s="202"/>
      <c r="R106" s="202"/>
      <c r="S106" s="202"/>
      <c r="T106" s="202"/>
      <c r="U106" s="246"/>
      <c r="W106" s="204"/>
      <c r="X106" s="504"/>
    </row>
    <row r="107" spans="1:24" ht="18" customHeight="1">
      <c r="A107" s="227"/>
      <c r="B107" s="245"/>
      <c r="C107" s="323" t="s">
        <v>311</v>
      </c>
      <c r="D107" s="202"/>
      <c r="E107" s="202"/>
      <c r="F107" s="202"/>
      <c r="G107" s="202"/>
      <c r="H107" s="202"/>
      <c r="I107" s="202"/>
      <c r="J107" s="202"/>
      <c r="K107" s="202"/>
      <c r="L107" s="202"/>
      <c r="M107" s="202"/>
      <c r="N107" s="202"/>
      <c r="O107" s="202"/>
      <c r="P107" s="202"/>
      <c r="Q107" s="202"/>
      <c r="R107" s="202"/>
      <c r="S107" s="202"/>
      <c r="T107" s="202"/>
      <c r="U107" s="246"/>
      <c r="W107" s="204"/>
      <c r="X107" s="504"/>
    </row>
    <row r="108" spans="1:24" ht="18" customHeight="1">
      <c r="A108" s="227"/>
      <c r="B108" s="245"/>
      <c r="C108" s="202" t="s">
        <v>304</v>
      </c>
      <c r="D108" s="202"/>
      <c r="E108" s="202"/>
      <c r="F108" s="202"/>
      <c r="G108" s="202"/>
      <c r="H108" s="202"/>
      <c r="I108" s="202"/>
      <c r="J108" s="202"/>
      <c r="K108" s="202"/>
      <c r="L108" s="202"/>
      <c r="M108" s="202"/>
      <c r="N108" s="202"/>
      <c r="O108" s="202"/>
      <c r="P108" s="202"/>
      <c r="Q108" s="202"/>
      <c r="R108" s="202"/>
      <c r="S108" s="202"/>
      <c r="T108" s="202"/>
      <c r="U108" s="246"/>
      <c r="W108" s="204"/>
      <c r="X108" s="504"/>
    </row>
    <row r="109" spans="1:24" ht="18" customHeight="1">
      <c r="A109" s="227"/>
      <c r="B109" s="245"/>
      <c r="C109" s="202" t="s">
        <v>298</v>
      </c>
      <c r="D109" s="202"/>
      <c r="E109" s="202"/>
      <c r="F109" s="202"/>
      <c r="G109" s="202"/>
      <c r="H109" s="202"/>
      <c r="I109" s="202"/>
      <c r="J109" s="202"/>
      <c r="K109" s="202"/>
      <c r="L109" s="202"/>
      <c r="M109" s="202"/>
      <c r="N109" s="202"/>
      <c r="O109" s="202"/>
      <c r="P109" s="202"/>
      <c r="Q109" s="202"/>
      <c r="R109" s="202"/>
      <c r="S109" s="202"/>
      <c r="T109" s="202"/>
      <c r="U109" s="246"/>
      <c r="W109" s="204"/>
      <c r="X109" s="504"/>
    </row>
    <row r="110" spans="1:24" ht="6" customHeight="1">
      <c r="A110" s="227"/>
      <c r="B110" s="245"/>
      <c r="C110" s="202"/>
      <c r="D110" s="202"/>
      <c r="E110" s="202"/>
      <c r="F110" s="202"/>
      <c r="G110" s="202"/>
      <c r="H110" s="202"/>
      <c r="I110" s="202"/>
      <c r="J110" s="202"/>
      <c r="K110" s="202"/>
      <c r="L110" s="202"/>
      <c r="M110" s="202"/>
      <c r="N110" s="202"/>
      <c r="O110" s="202"/>
      <c r="P110" s="202"/>
      <c r="Q110" s="202"/>
      <c r="R110" s="202"/>
      <c r="S110" s="202"/>
      <c r="T110" s="202"/>
      <c r="U110" s="246"/>
      <c r="W110" s="204"/>
      <c r="X110" s="504"/>
    </row>
    <row r="111" spans="1:24" ht="18" customHeight="1">
      <c r="A111" s="227"/>
      <c r="B111" s="245"/>
      <c r="C111" s="202" t="s">
        <v>303</v>
      </c>
      <c r="D111" s="202"/>
      <c r="E111" s="202"/>
      <c r="F111" s="202"/>
      <c r="G111" s="202"/>
      <c r="H111" s="202"/>
      <c r="I111" s="202"/>
      <c r="J111" s="202"/>
      <c r="K111" s="202"/>
      <c r="L111" s="202"/>
      <c r="M111" s="202"/>
      <c r="N111" s="202"/>
      <c r="O111" s="202"/>
      <c r="P111" s="202"/>
      <c r="Q111" s="202"/>
      <c r="R111" s="202"/>
      <c r="S111" s="202"/>
      <c r="T111" s="202"/>
      <c r="U111" s="246"/>
      <c r="W111" s="204"/>
      <c r="X111" s="504"/>
    </row>
    <row r="112" spans="1:24" ht="18" customHeight="1">
      <c r="A112" s="227"/>
      <c r="B112" s="245"/>
      <c r="C112" s="202" t="s">
        <v>308</v>
      </c>
      <c r="D112" s="202"/>
      <c r="E112" s="202"/>
      <c r="F112" s="202"/>
      <c r="G112" s="202"/>
      <c r="H112" s="202"/>
      <c r="I112" s="202"/>
      <c r="J112" s="202"/>
      <c r="K112" s="202"/>
      <c r="L112" s="202"/>
      <c r="M112" s="202"/>
      <c r="N112" s="202"/>
      <c r="O112" s="202"/>
      <c r="P112" s="202"/>
      <c r="Q112" s="202"/>
      <c r="R112" s="202"/>
      <c r="S112" s="202"/>
      <c r="T112" s="202"/>
      <c r="U112" s="246"/>
      <c r="W112" s="204"/>
      <c r="X112" s="504"/>
    </row>
    <row r="113" spans="1:24" ht="18" customHeight="1">
      <c r="A113" s="227"/>
      <c r="B113" s="245"/>
      <c r="C113" s="202" t="s">
        <v>760</v>
      </c>
      <c r="D113" s="202"/>
      <c r="E113" s="202"/>
      <c r="F113" s="202"/>
      <c r="G113" s="202"/>
      <c r="H113" s="202"/>
      <c r="I113" s="202"/>
      <c r="J113" s="202"/>
      <c r="K113" s="202"/>
      <c r="L113" s="202"/>
      <c r="M113" s="202"/>
      <c r="N113" s="202"/>
      <c r="O113" s="202"/>
      <c r="P113" s="202"/>
      <c r="Q113" s="202"/>
      <c r="R113" s="202"/>
      <c r="S113" s="202"/>
      <c r="T113" s="202"/>
      <c r="U113" s="246"/>
      <c r="W113" s="204"/>
      <c r="X113" s="504"/>
    </row>
    <row r="114" spans="1:24" ht="18" customHeight="1">
      <c r="A114" s="227"/>
      <c r="B114" s="245"/>
      <c r="C114" s="202" t="s">
        <v>306</v>
      </c>
      <c r="D114" s="202"/>
      <c r="E114" s="202"/>
      <c r="F114" s="202"/>
      <c r="G114" s="202"/>
      <c r="H114" s="202"/>
      <c r="I114" s="202"/>
      <c r="J114" s="202"/>
      <c r="K114" s="202"/>
      <c r="L114" s="202"/>
      <c r="M114" s="202"/>
      <c r="N114" s="202"/>
      <c r="O114" s="202"/>
      <c r="P114" s="202"/>
      <c r="Q114" s="202"/>
      <c r="R114" s="202"/>
      <c r="S114" s="202"/>
      <c r="T114" s="202"/>
      <c r="U114" s="246"/>
      <c r="W114" s="204"/>
      <c r="X114" s="504"/>
    </row>
    <row r="115" spans="1:24" ht="6" customHeight="1">
      <c r="A115" s="227"/>
      <c r="B115" s="245"/>
      <c r="C115" s="202"/>
      <c r="D115" s="202"/>
      <c r="E115" s="202"/>
      <c r="F115" s="202"/>
      <c r="G115" s="202"/>
      <c r="H115" s="202"/>
      <c r="I115" s="202"/>
      <c r="J115" s="202"/>
      <c r="K115" s="202"/>
      <c r="L115" s="202"/>
      <c r="M115" s="202"/>
      <c r="N115" s="202"/>
      <c r="O115" s="202"/>
      <c r="P115" s="202"/>
      <c r="Q115" s="202"/>
      <c r="R115" s="202"/>
      <c r="S115" s="202"/>
      <c r="T115" s="202"/>
      <c r="U115" s="246"/>
      <c r="W115" s="204"/>
      <c r="X115" s="504"/>
    </row>
    <row r="116" spans="1:24" ht="18" customHeight="1">
      <c r="A116" s="227"/>
      <c r="B116" s="245"/>
      <c r="C116" s="202" t="s">
        <v>299</v>
      </c>
      <c r="D116" s="202"/>
      <c r="E116" s="202"/>
      <c r="F116" s="202"/>
      <c r="G116" s="202"/>
      <c r="H116" s="202"/>
      <c r="I116" s="202"/>
      <c r="J116" s="202"/>
      <c r="K116" s="202"/>
      <c r="L116" s="202"/>
      <c r="M116" s="202"/>
      <c r="N116" s="202"/>
      <c r="O116" s="202"/>
      <c r="P116" s="202"/>
      <c r="Q116" s="202"/>
      <c r="R116" s="202"/>
      <c r="S116" s="202"/>
      <c r="T116" s="202"/>
      <c r="U116" s="246"/>
      <c r="W116" s="204"/>
      <c r="X116" s="504"/>
    </row>
    <row r="117" spans="1:24" ht="18" customHeight="1">
      <c r="A117" s="227"/>
      <c r="B117" s="245"/>
      <c r="C117" s="202" t="s">
        <v>307</v>
      </c>
      <c r="D117" s="202"/>
      <c r="E117" s="202"/>
      <c r="F117" s="202"/>
      <c r="G117" s="202"/>
      <c r="H117" s="202"/>
      <c r="I117" s="202"/>
      <c r="J117" s="202"/>
      <c r="K117" s="202"/>
      <c r="L117" s="202"/>
      <c r="M117" s="202"/>
      <c r="N117" s="202"/>
      <c r="O117" s="202"/>
      <c r="P117" s="202"/>
      <c r="Q117" s="202"/>
      <c r="R117" s="202"/>
      <c r="S117" s="202"/>
      <c r="T117" s="202"/>
      <c r="U117" s="246"/>
      <c r="W117" s="204"/>
      <c r="X117" s="504"/>
    </row>
    <row r="118" spans="1:24" ht="18" customHeight="1">
      <c r="A118" s="227"/>
      <c r="B118" s="245"/>
      <c r="C118" s="202" t="s">
        <v>761</v>
      </c>
      <c r="D118" s="202"/>
      <c r="E118" s="202"/>
      <c r="F118" s="202"/>
      <c r="G118" s="202"/>
      <c r="H118" s="202"/>
      <c r="I118" s="202"/>
      <c r="J118" s="202"/>
      <c r="K118" s="202"/>
      <c r="L118" s="202"/>
      <c r="M118" s="202"/>
      <c r="N118" s="202"/>
      <c r="O118" s="202"/>
      <c r="P118" s="202"/>
      <c r="Q118" s="202"/>
      <c r="R118" s="202"/>
      <c r="S118" s="202"/>
      <c r="T118" s="202"/>
      <c r="U118" s="246"/>
      <c r="W118" s="204"/>
      <c r="X118" s="504"/>
    </row>
    <row r="119" spans="1:24" ht="14" customHeight="1">
      <c r="A119" s="227"/>
      <c r="B119" s="245"/>
      <c r="C119" s="202"/>
      <c r="D119" s="202"/>
      <c r="E119" s="202"/>
      <c r="F119" s="202"/>
      <c r="G119" s="202"/>
      <c r="H119" s="202"/>
      <c r="I119" s="202"/>
      <c r="J119" s="202"/>
      <c r="K119" s="202"/>
      <c r="L119" s="202"/>
      <c r="M119" s="202"/>
      <c r="N119" s="202"/>
      <c r="O119" s="202"/>
      <c r="P119" s="202"/>
      <c r="Q119" s="202"/>
      <c r="R119" s="202"/>
      <c r="S119" s="202"/>
      <c r="T119" s="202"/>
      <c r="U119" s="246"/>
      <c r="W119" s="204"/>
      <c r="X119" s="504"/>
    </row>
    <row r="120" spans="1:24" ht="18" customHeight="1">
      <c r="A120" s="227"/>
      <c r="B120" s="245"/>
      <c r="C120" s="323" t="s">
        <v>312</v>
      </c>
      <c r="D120" s="202"/>
      <c r="E120" s="202"/>
      <c r="F120" s="202"/>
      <c r="G120" s="202"/>
      <c r="H120" s="202"/>
      <c r="I120" s="202"/>
      <c r="J120" s="202"/>
      <c r="K120" s="202"/>
      <c r="L120" s="202"/>
      <c r="M120" s="202"/>
      <c r="N120" s="202"/>
      <c r="O120" s="202"/>
      <c r="P120" s="202"/>
      <c r="Q120" s="202"/>
      <c r="R120" s="202"/>
      <c r="S120" s="202"/>
      <c r="T120" s="202"/>
      <c r="U120" s="246"/>
      <c r="W120" s="204"/>
      <c r="X120" s="504"/>
    </row>
    <row r="121" spans="1:24" ht="18" customHeight="1">
      <c r="A121" s="227"/>
      <c r="B121" s="245"/>
      <c r="C121" s="202" t="s">
        <v>762</v>
      </c>
      <c r="D121" s="202"/>
      <c r="E121" s="202"/>
      <c r="F121" s="202"/>
      <c r="G121" s="202"/>
      <c r="H121" s="202"/>
      <c r="I121" s="202"/>
      <c r="J121" s="202"/>
      <c r="K121" s="202"/>
      <c r="L121" s="202"/>
      <c r="M121" s="202"/>
      <c r="N121" s="202"/>
      <c r="O121" s="202"/>
      <c r="P121" s="202"/>
      <c r="Q121" s="202"/>
      <c r="R121" s="202"/>
      <c r="S121" s="202"/>
      <c r="T121" s="202"/>
      <c r="U121" s="246"/>
      <c r="W121" s="204"/>
      <c r="X121" s="504"/>
    </row>
    <row r="122" spans="1:24" ht="18" customHeight="1">
      <c r="A122" s="227"/>
      <c r="B122" s="245"/>
      <c r="C122" s="202" t="s">
        <v>763</v>
      </c>
      <c r="D122" s="202"/>
      <c r="E122" s="202"/>
      <c r="F122" s="202"/>
      <c r="G122" s="202"/>
      <c r="H122" s="202"/>
      <c r="I122" s="202"/>
      <c r="J122" s="202"/>
      <c r="K122" s="202"/>
      <c r="L122" s="202"/>
      <c r="M122" s="202"/>
      <c r="N122" s="202"/>
      <c r="O122" s="202"/>
      <c r="P122" s="202"/>
      <c r="Q122" s="202"/>
      <c r="R122" s="202"/>
      <c r="S122" s="202"/>
      <c r="T122" s="202"/>
      <c r="U122" s="246"/>
      <c r="W122" s="204"/>
      <c r="X122" s="504"/>
    </row>
    <row r="123" spans="1:24" ht="18" customHeight="1">
      <c r="A123" s="227"/>
      <c r="B123" s="245"/>
      <c r="C123" s="202" t="s">
        <v>302</v>
      </c>
      <c r="D123" s="202"/>
      <c r="E123" s="202"/>
      <c r="F123" s="202"/>
      <c r="G123" s="202"/>
      <c r="H123" s="202"/>
      <c r="I123" s="202"/>
      <c r="J123" s="202"/>
      <c r="K123" s="202"/>
      <c r="L123" s="202"/>
      <c r="M123" s="202"/>
      <c r="N123" s="202"/>
      <c r="O123" s="202"/>
      <c r="P123" s="202"/>
      <c r="Q123" s="202"/>
      <c r="R123" s="202"/>
      <c r="S123" s="202"/>
      <c r="T123" s="202"/>
      <c r="U123" s="246"/>
      <c r="W123" s="204"/>
      <c r="X123" s="504"/>
    </row>
    <row r="124" spans="1:24" ht="6" customHeight="1">
      <c r="A124" s="227"/>
      <c r="B124" s="245"/>
      <c r="C124" s="202"/>
      <c r="D124" s="202"/>
      <c r="E124" s="202"/>
      <c r="F124" s="202"/>
      <c r="G124" s="202"/>
      <c r="H124" s="202"/>
      <c r="I124" s="202"/>
      <c r="J124" s="202"/>
      <c r="K124" s="202"/>
      <c r="L124" s="202"/>
      <c r="M124" s="202"/>
      <c r="N124" s="202"/>
      <c r="O124" s="202"/>
      <c r="P124" s="202"/>
      <c r="Q124" s="202"/>
      <c r="R124" s="202"/>
      <c r="S124" s="202"/>
      <c r="T124" s="202"/>
      <c r="U124" s="246"/>
      <c r="W124" s="204"/>
      <c r="X124" s="504"/>
    </row>
    <row r="125" spans="1:24" ht="18" customHeight="1">
      <c r="A125" s="227"/>
      <c r="B125" s="245"/>
      <c r="C125" s="202" t="s">
        <v>309</v>
      </c>
      <c r="D125" s="202"/>
      <c r="E125" s="202"/>
      <c r="F125" s="202"/>
      <c r="G125" s="202"/>
      <c r="H125" s="202"/>
      <c r="I125" s="202"/>
      <c r="J125" s="202"/>
      <c r="K125" s="202"/>
      <c r="L125" s="202"/>
      <c r="M125" s="202"/>
      <c r="N125" s="202"/>
      <c r="O125" s="202"/>
      <c r="P125" s="202"/>
      <c r="Q125" s="202"/>
      <c r="R125" s="202"/>
      <c r="S125" s="202"/>
      <c r="T125" s="202"/>
      <c r="U125" s="246"/>
      <c r="W125" s="204"/>
      <c r="X125" s="504"/>
    </row>
    <row r="126" spans="1:24" ht="6" customHeight="1">
      <c r="A126" s="227"/>
      <c r="B126" s="245"/>
      <c r="C126" s="202"/>
      <c r="D126" s="202"/>
      <c r="E126" s="202"/>
      <c r="F126" s="202"/>
      <c r="G126" s="202"/>
      <c r="H126" s="202"/>
      <c r="I126" s="202"/>
      <c r="J126" s="202"/>
      <c r="K126" s="202"/>
      <c r="L126" s="202"/>
      <c r="M126" s="202"/>
      <c r="N126" s="202"/>
      <c r="O126" s="202"/>
      <c r="P126" s="202"/>
      <c r="Q126" s="202"/>
      <c r="R126" s="202"/>
      <c r="S126" s="202"/>
      <c r="T126" s="202"/>
      <c r="U126" s="246"/>
      <c r="W126" s="204"/>
      <c r="X126" s="504"/>
    </row>
    <row r="127" spans="1:24" ht="18" customHeight="1">
      <c r="A127" s="227"/>
      <c r="B127" s="245"/>
      <c r="C127" s="1304" t="s">
        <v>310</v>
      </c>
      <c r="D127" s="1305"/>
      <c r="E127" s="1305"/>
      <c r="F127" s="1305"/>
      <c r="G127" s="1305"/>
      <c r="H127" s="406">
        <v>12</v>
      </c>
      <c r="I127" s="407">
        <v>11</v>
      </c>
      <c r="J127" s="408">
        <v>13</v>
      </c>
      <c r="K127" s="696" t="s">
        <v>300</v>
      </c>
      <c r="L127" s="202"/>
      <c r="M127" s="202"/>
      <c r="N127" s="202"/>
      <c r="O127" s="202"/>
      <c r="P127" s="202"/>
      <c r="Q127" s="202"/>
      <c r="R127" s="202"/>
      <c r="S127" s="202"/>
      <c r="T127" s="202"/>
      <c r="U127" s="246"/>
      <c r="W127" s="204"/>
      <c r="X127" s="504"/>
    </row>
    <row r="128" spans="1:24" ht="14" customHeight="1">
      <c r="A128" s="227"/>
      <c r="B128" s="245"/>
      <c r="C128" s="202"/>
      <c r="D128" s="202"/>
      <c r="E128" s="202"/>
      <c r="F128" s="410"/>
      <c r="G128" s="202"/>
      <c r="H128" s="202"/>
      <c r="I128" s="202"/>
      <c r="J128" s="202"/>
      <c r="K128" s="202"/>
      <c r="L128" s="202"/>
      <c r="M128" s="202"/>
      <c r="N128" s="202"/>
      <c r="O128" s="202"/>
      <c r="P128" s="202"/>
      <c r="Q128" s="202"/>
      <c r="R128" s="202"/>
      <c r="S128" s="202"/>
      <c r="T128" s="202"/>
      <c r="U128" s="246"/>
      <c r="W128" s="204"/>
      <c r="X128" s="504"/>
    </row>
    <row r="129" spans="1:24" ht="24" customHeight="1">
      <c r="A129" s="227"/>
      <c r="B129" s="697"/>
      <c r="C129" s="682" t="s">
        <v>305</v>
      </c>
      <c r="D129" s="698"/>
      <c r="E129" s="698"/>
      <c r="F129" s="698"/>
      <c r="G129" s="698"/>
      <c r="H129" s="698"/>
      <c r="I129" s="698"/>
      <c r="J129" s="698"/>
      <c r="K129" s="698"/>
      <c r="L129" s="698"/>
      <c r="M129" s="698"/>
      <c r="N129" s="698"/>
      <c r="O129" s="698"/>
      <c r="P129" s="698"/>
      <c r="Q129" s="698"/>
      <c r="R129" s="698"/>
      <c r="S129" s="698"/>
      <c r="T129" s="698"/>
      <c r="U129" s="409"/>
      <c r="W129" s="204"/>
      <c r="X129" s="504"/>
    </row>
    <row r="130" spans="1:24" ht="14" customHeight="1">
      <c r="A130" s="227"/>
      <c r="B130" s="292"/>
      <c r="C130" s="294"/>
      <c r="D130" s="294"/>
      <c r="E130" s="294"/>
      <c r="F130" s="294"/>
      <c r="G130" s="294"/>
      <c r="H130" s="294"/>
      <c r="I130" s="294"/>
      <c r="J130" s="294"/>
      <c r="K130" s="294"/>
      <c r="L130" s="294"/>
      <c r="M130" s="294"/>
      <c r="N130" s="294"/>
      <c r="O130" s="294"/>
      <c r="P130" s="294"/>
      <c r="Q130" s="294"/>
      <c r="R130" s="294"/>
      <c r="S130" s="294"/>
      <c r="T130" s="294"/>
      <c r="U130" s="295"/>
      <c r="W130" s="204"/>
      <c r="X130" s="504"/>
    </row>
    <row r="131" spans="1:24" ht="14" customHeight="1">
      <c r="A131" s="227"/>
      <c r="B131" s="254"/>
      <c r="U131" s="227"/>
      <c r="W131" s="204"/>
      <c r="X131" s="504"/>
    </row>
    <row r="132" spans="1:24" ht="24" customHeight="1">
      <c r="A132" s="227"/>
      <c r="B132" s="254"/>
      <c r="C132" s="1133" t="str">
        <f>IF(
VA_ZUSAMMEN=1,"Zusammenfassung beider Bahnhofsseiten",IF(
AND(VA_BESTANDSEINGABE=1,VA_VERKEHRSSTATION=""),"Bahnhofsname nicht eingegeben",IF(
AND(VA_BESTANDSEINGABE=1,VA_VERKEHRSSTATION&lt;&gt;""),VA_VERKEHRSSTATION,IF(
VA_ZUGANG_1="","Bezeichnung der Bahnhofsseite fehlt",
VA_ZUGANG_1))))</f>
        <v>Zusammenfassung beider Bahnhofsseiten</v>
      </c>
      <c r="D132" s="1133"/>
      <c r="E132" s="1133"/>
      <c r="F132" s="1133"/>
      <c r="G132" s="1133"/>
      <c r="H132" s="1133"/>
      <c r="I132" s="1133"/>
      <c r="J132" s="1133"/>
      <c r="K132" s="268"/>
      <c r="M132" s="1133" t="str">
        <f>IF(VA_ZUGANG_2="","Bezeichnung der Bahnhofsseite fehlt",VA_ZUGANG_2)</f>
        <v>Bezeichnung der Bahnhofsseite fehlt</v>
      </c>
      <c r="N132" s="1133"/>
      <c r="O132" s="1133"/>
      <c r="P132" s="1133"/>
      <c r="Q132" s="1133"/>
      <c r="R132" s="1133"/>
      <c r="S132" s="1133"/>
      <c r="T132" s="1133"/>
      <c r="U132" s="227"/>
      <c r="W132" s="204"/>
      <c r="X132" s="504"/>
    </row>
    <row r="133" spans="1:24" ht="14" customHeight="1">
      <c r="A133" s="227"/>
      <c r="B133" s="254"/>
      <c r="K133" s="268"/>
      <c r="U133" s="227"/>
      <c r="W133" s="204"/>
      <c r="X133" s="504"/>
    </row>
    <row r="134" spans="1:24" ht="18" customHeight="1">
      <c r="A134" s="227"/>
      <c r="B134" s="254"/>
      <c r="C134" s="260" t="s">
        <v>116</v>
      </c>
      <c r="I134" s="1290">
        <f>N96</f>
        <v>0</v>
      </c>
      <c r="J134" s="1299"/>
      <c r="K134" s="268"/>
      <c r="M134" s="260" t="s">
        <v>116</v>
      </c>
      <c r="S134" s="1290">
        <f>R96</f>
        <v>0</v>
      </c>
      <c r="T134" s="1299"/>
      <c r="U134" s="227"/>
      <c r="W134" s="204"/>
      <c r="X134" s="504"/>
    </row>
    <row r="135" spans="1:24" ht="4" customHeight="1">
      <c r="A135" s="227"/>
      <c r="B135" s="254"/>
      <c r="K135" s="268"/>
      <c r="U135" s="227"/>
      <c r="W135" s="204"/>
      <c r="X135" s="504"/>
    </row>
    <row r="136" spans="1:24" ht="18" customHeight="1">
      <c r="A136" s="227"/>
      <c r="B136" s="254"/>
      <c r="C136" s="203" t="s">
        <v>764</v>
      </c>
      <c r="I136" s="1214">
        <f>N98</f>
        <v>0</v>
      </c>
      <c r="J136" s="1133"/>
      <c r="K136" s="268"/>
      <c r="M136" s="203" t="s">
        <v>764</v>
      </c>
      <c r="S136" s="1214">
        <f>R98</f>
        <v>0</v>
      </c>
      <c r="T136" s="1133"/>
      <c r="U136" s="227"/>
      <c r="W136" s="204"/>
      <c r="X136" s="504"/>
    </row>
    <row r="137" spans="1:24" ht="4" customHeight="1">
      <c r="A137" s="227"/>
      <c r="B137" s="254"/>
      <c r="K137" s="268"/>
      <c r="U137" s="227"/>
      <c r="W137" s="204"/>
      <c r="X137" s="504"/>
    </row>
    <row r="138" spans="1:24" ht="18" customHeight="1">
      <c r="A138" s="227"/>
      <c r="B138" s="254"/>
      <c r="C138" s="203" t="s">
        <v>117</v>
      </c>
      <c r="I138" s="1214">
        <f>N94</f>
        <v>0</v>
      </c>
      <c r="J138" s="1133"/>
      <c r="K138" s="268"/>
      <c r="M138" s="203" t="s">
        <v>117</v>
      </c>
      <c r="S138" s="1214">
        <f>R94</f>
        <v>0</v>
      </c>
      <c r="T138" s="1133"/>
      <c r="U138" s="227"/>
      <c r="W138" s="204"/>
      <c r="X138" s="504"/>
    </row>
    <row r="139" spans="1:24" ht="14" customHeight="1">
      <c r="A139" s="227"/>
      <c r="B139" s="307"/>
      <c r="C139" s="308"/>
      <c r="D139" s="308"/>
      <c r="E139" s="308"/>
      <c r="F139" s="308"/>
      <c r="G139" s="308"/>
      <c r="H139" s="308"/>
      <c r="I139" s="308"/>
      <c r="J139" s="308"/>
      <c r="K139" s="368"/>
      <c r="L139" s="308"/>
      <c r="M139" s="308"/>
      <c r="N139" s="308"/>
      <c r="O139" s="308"/>
      <c r="P139" s="308"/>
      <c r="Q139" s="308"/>
      <c r="R139" s="308"/>
      <c r="S139" s="308"/>
      <c r="T139" s="308"/>
      <c r="U139" s="310"/>
      <c r="W139" s="204"/>
      <c r="X139" s="504"/>
    </row>
    <row r="140" spans="1:24" ht="14" customHeight="1">
      <c r="A140" s="227"/>
      <c r="B140" s="254"/>
      <c r="G140" s="1300" t="s">
        <v>225</v>
      </c>
      <c r="H140" s="1300"/>
      <c r="I140" s="1300"/>
      <c r="J140" s="1300"/>
      <c r="K140" s="268"/>
      <c r="Q140" s="1300" t="s">
        <v>225</v>
      </c>
      <c r="R140" s="1300"/>
      <c r="S140" s="1300"/>
      <c r="T140" s="1300"/>
      <c r="U140" s="227"/>
      <c r="W140" s="204"/>
      <c r="X140" s="504"/>
    </row>
    <row r="141" spans="1:24" ht="40" customHeight="1">
      <c r="A141" s="227"/>
      <c r="B141" s="254"/>
      <c r="C141" s="1285" t="s">
        <v>229</v>
      </c>
      <c r="D141" s="1286"/>
      <c r="E141" s="1284" t="s">
        <v>150</v>
      </c>
      <c r="F141" s="1284"/>
      <c r="G141" s="1284" t="s">
        <v>119</v>
      </c>
      <c r="H141" s="1284"/>
      <c r="I141" s="1284" t="s">
        <v>216</v>
      </c>
      <c r="J141" s="1284"/>
      <c r="K141" s="268"/>
      <c r="M141" s="1285" t="s">
        <v>229</v>
      </c>
      <c r="N141" s="1286"/>
      <c r="O141" s="1284" t="s">
        <v>150</v>
      </c>
      <c r="P141" s="1284"/>
      <c r="Q141" s="1284" t="s">
        <v>119</v>
      </c>
      <c r="R141" s="1284"/>
      <c r="S141" s="1284" t="s">
        <v>216</v>
      </c>
      <c r="T141" s="1284"/>
      <c r="U141" s="227"/>
      <c r="W141" s="204"/>
      <c r="X141" s="504"/>
    </row>
    <row r="142" spans="1:24" ht="32" customHeight="1">
      <c r="A142" s="227"/>
      <c r="B142" s="254"/>
      <c r="C142" s="1309" t="s">
        <v>8</v>
      </c>
      <c r="D142" s="1310"/>
      <c r="E142" s="1297">
        <f>IF((I134-I142-G142&lt;0),0,I134-I142-G142)</f>
        <v>0</v>
      </c>
      <c r="F142" s="1298"/>
      <c r="G142" s="1297">
        <f>IF(
G145&lt;&gt;"",ROUNDUP(I134*(G145/100),0),IF(
I142&gt;0,0,IF(
ROUNDUP(I134/2,0)&lt;I136,I136,IF(
AND(ROUNDUP(I134/2,0)&lt;24,I136&gt;0),I136,IF(
ROUNDUP(I134/2,0)&lt;24,0,
ROUNDUP(I134/2,0))))))</f>
        <v>0</v>
      </c>
      <c r="H142" s="1298"/>
      <c r="I142" s="1297">
        <f>IF(
I145&lt;&gt;"",ROUNDUP(I134*(I145/100),0),IF(
AND(G145&lt;&gt;"",I146="",I134&gt;V_FPH),ROUNDUP(I134*((100-G145)/100),0),IF(
AND(G145&lt;&gt;"",I146&lt;&gt;"",I134&gt;I146),ROUNDUP(I134*((100-G145)/100),0),IF(
AND(I146="",I134&gt;V_FPH),ROUNDUP(I134*1,0)+N("ehemals 90%"),IF(
AND(I146&lt;&gt;"",I134&gt;I146),ROUNDUP(I134*1,0)+N("ehemals 90%"),
0)))))</f>
        <v>0</v>
      </c>
      <c r="J142" s="1298"/>
      <c r="K142" s="268"/>
      <c r="M142" s="1309" t="s">
        <v>8</v>
      </c>
      <c r="N142" s="1310"/>
      <c r="O142" s="1297">
        <f>IF((S134-S142-Q142&lt;0),0,S134-S142-Q142)</f>
        <v>0</v>
      </c>
      <c r="P142" s="1298"/>
      <c r="Q142" s="1297">
        <f>IF(
Q145&lt;&gt;"",ROUNDUP(S134*(Q145/100),0),IF(
S142&gt;0,0,IF(
ROUNDUP(S134/2,0)&lt;S136,S136,IF(
AND(ROUNDUP(S134/2,0)&lt;24,S136&gt;0),S136,IF(
ROUNDUP(S134/2,0)&lt;24,0,
ROUNDUP(S134/2,0))))))</f>
        <v>0</v>
      </c>
      <c r="R142" s="1298"/>
      <c r="S142" s="1297">
        <f>IF(
S145&lt;&gt;"",ROUNDUP(S134*(S145/100),0),IF(
AND(Q145&lt;&gt;"",S146="",S134&gt;V_FPH),ROUNDUP(S134*((100-Q145)/100),0),IF(
AND(Q145&lt;&gt;"",S146&lt;&gt;"",S134&gt;S146),ROUNDUP(S134*((100-Q145)/100),0),IF(
AND(S146="",S134&gt;V_FPH),ROUNDUP(S134*1,0)+N("ehemals 90%"),IF(
AND(S146&lt;&gt;"",S134&gt;S146),ROUNDUP(S134*1,0)+N("ehemals 90%"),
0)))))</f>
        <v>0</v>
      </c>
      <c r="T142" s="1298"/>
      <c r="U142" s="227"/>
      <c r="W142" s="204"/>
      <c r="X142" s="504"/>
    </row>
    <row r="143" spans="1:24" ht="24" customHeight="1">
      <c r="A143" s="227"/>
      <c r="B143" s="254"/>
      <c r="C143" s="1199" t="s">
        <v>731</v>
      </c>
      <c r="D143" s="1200"/>
      <c r="E143" s="1201" t="s">
        <v>105</v>
      </c>
      <c r="F143" s="1202"/>
      <c r="G143" s="1203">
        <f>G142</f>
        <v>0</v>
      </c>
      <c r="H143" s="1202"/>
      <c r="I143" s="1203">
        <f>IF(I147="",I142,ROUNDUP(I147*I142,0))</f>
        <v>0</v>
      </c>
      <c r="J143" s="1202"/>
      <c r="K143" s="268"/>
      <c r="M143" s="1199" t="s">
        <v>731</v>
      </c>
      <c r="N143" s="1200"/>
      <c r="O143" s="1201" t="s">
        <v>105</v>
      </c>
      <c r="P143" s="1202"/>
      <c r="Q143" s="1203">
        <f>Q142</f>
        <v>0</v>
      </c>
      <c r="R143" s="1202"/>
      <c r="S143" s="1203">
        <f>IF(S147="",S142,ROUNDUP(S147*S142,0))</f>
        <v>0</v>
      </c>
      <c r="T143" s="1202"/>
      <c r="U143" s="227"/>
      <c r="W143" s="204"/>
      <c r="X143" s="504"/>
    </row>
    <row r="144" spans="1:24" ht="40" customHeight="1">
      <c r="A144" s="227"/>
      <c r="B144" s="254"/>
      <c r="C144" s="1311" t="s">
        <v>226</v>
      </c>
      <c r="D144" s="1312"/>
      <c r="E144" s="1313">
        <f>IFERROR(E142/SUM(E142:J142),0)</f>
        <v>0</v>
      </c>
      <c r="F144" s="1314"/>
      <c r="G144" s="1294">
        <f>IFERROR(G142/SUM(E142:J142),0)</f>
        <v>0</v>
      </c>
      <c r="H144" s="1295"/>
      <c r="I144" s="1294">
        <f>IFERROR(I142/SUM(E142:J142),0)</f>
        <v>0</v>
      </c>
      <c r="J144" s="1295"/>
      <c r="K144" s="268"/>
      <c r="M144" s="1311" t="s">
        <v>226</v>
      </c>
      <c r="N144" s="1312"/>
      <c r="O144" s="1313">
        <f>IFERROR(O142/SUM(O142:T142),0)</f>
        <v>0</v>
      </c>
      <c r="P144" s="1314"/>
      <c r="Q144" s="1294">
        <f>IFERROR(Q142/SUM(O142:T142),0)</f>
        <v>0</v>
      </c>
      <c r="R144" s="1295"/>
      <c r="S144" s="1294">
        <f>IFERROR(S142/SUM(O142:T142),0)</f>
        <v>0</v>
      </c>
      <c r="T144" s="1295"/>
      <c r="U144" s="227"/>
      <c r="W144" s="204"/>
      <c r="X144" s="504"/>
    </row>
    <row r="145" spans="1:24" ht="40" customHeight="1">
      <c r="A145" s="227"/>
      <c r="B145" s="254"/>
      <c r="C145" s="1253" t="s">
        <v>238</v>
      </c>
      <c r="D145" s="1253"/>
      <c r="E145" s="1253"/>
      <c r="F145" s="1253"/>
      <c r="G145" s="1254"/>
      <c r="H145" s="1255"/>
      <c r="I145" s="1254"/>
      <c r="J145" s="1255"/>
      <c r="K145" s="369" t="s">
        <v>224</v>
      </c>
      <c r="L145" s="699" t="s">
        <v>224</v>
      </c>
      <c r="M145" s="1253" t="s">
        <v>238</v>
      </c>
      <c r="N145" s="1253"/>
      <c r="O145" s="1253"/>
      <c r="P145" s="1253"/>
      <c r="Q145" s="1254"/>
      <c r="R145" s="1255"/>
      <c r="S145" s="1254"/>
      <c r="T145" s="1255"/>
      <c r="U145" s="227"/>
      <c r="W145" s="204"/>
      <c r="X145" s="504"/>
    </row>
    <row r="146" spans="1:24" ht="40" customHeight="1">
      <c r="A146" s="227"/>
      <c r="B146" s="254"/>
      <c r="C146" s="1206" t="s">
        <v>810</v>
      </c>
      <c r="D146" s="1206"/>
      <c r="E146" s="1206"/>
      <c r="F146" s="1206"/>
      <c r="G146" s="1206"/>
      <c r="H146" s="1206"/>
      <c r="I146" s="1251"/>
      <c r="J146" s="1252"/>
      <c r="K146" s="268"/>
      <c r="M146" s="1206" t="s">
        <v>810</v>
      </c>
      <c r="N146" s="1206"/>
      <c r="O146" s="1206"/>
      <c r="P146" s="1206"/>
      <c r="Q146" s="1206"/>
      <c r="R146" s="1206"/>
      <c r="S146" s="1251"/>
      <c r="T146" s="1252"/>
      <c r="U146" s="227"/>
      <c r="W146" s="204"/>
      <c r="X146" s="504"/>
    </row>
    <row r="147" spans="1:24" ht="40" customHeight="1">
      <c r="A147" s="227"/>
      <c r="B147" s="254"/>
      <c r="C147" s="1206" t="s">
        <v>732</v>
      </c>
      <c r="D147" s="1206"/>
      <c r="E147" s="1206"/>
      <c r="F147" s="1206"/>
      <c r="G147" s="1206"/>
      <c r="H147" s="1308"/>
      <c r="I147" s="1204"/>
      <c r="J147" s="1205"/>
      <c r="K147" s="268"/>
      <c r="M147" s="1206" t="s">
        <v>732</v>
      </c>
      <c r="N147" s="1206"/>
      <c r="O147" s="1206"/>
      <c r="P147" s="1206"/>
      <c r="Q147" s="1206"/>
      <c r="R147" s="1206"/>
      <c r="S147" s="1204"/>
      <c r="T147" s="1205"/>
      <c r="U147" s="227"/>
      <c r="W147" s="204"/>
      <c r="X147" s="504"/>
    </row>
    <row r="148" spans="1:24" s="285" customFormat="1" ht="32" customHeight="1">
      <c r="A148" s="311"/>
      <c r="B148" s="312"/>
      <c r="C148" s="1256" t="s">
        <v>294</v>
      </c>
      <c r="D148" s="1256"/>
      <c r="E148" s="1256"/>
      <c r="F148" s="1256"/>
      <c r="G148" s="1256"/>
      <c r="H148" s="1256"/>
      <c r="I148" s="1256"/>
      <c r="J148" s="1256"/>
      <c r="K148" s="370"/>
      <c r="M148" s="1256" t="s">
        <v>294</v>
      </c>
      <c r="N148" s="1256"/>
      <c r="O148" s="1256"/>
      <c r="P148" s="1256"/>
      <c r="Q148" s="1256"/>
      <c r="R148" s="1256"/>
      <c r="S148" s="1256"/>
      <c r="T148" s="1256"/>
      <c r="U148" s="311"/>
      <c r="W148" s="315"/>
      <c r="X148" s="522"/>
    </row>
    <row r="149" spans="1:24" s="285" customFormat="1" ht="14" customHeight="1">
      <c r="A149" s="311"/>
      <c r="B149" s="312"/>
      <c r="C149" s="876"/>
      <c r="D149" s="876"/>
      <c r="E149" s="876"/>
      <c r="F149" s="876"/>
      <c r="G149" s="876"/>
      <c r="H149" s="876"/>
      <c r="I149" s="876"/>
      <c r="J149" s="876"/>
      <c r="K149" s="370"/>
      <c r="M149" s="876"/>
      <c r="N149" s="876"/>
      <c r="O149" s="876"/>
      <c r="P149" s="876"/>
      <c r="Q149" s="876"/>
      <c r="R149" s="876"/>
      <c r="S149" s="876"/>
      <c r="T149" s="876"/>
      <c r="U149" s="311"/>
      <c r="W149" s="315"/>
      <c r="X149" s="522"/>
    </row>
    <row r="150" spans="1:24" s="285" customFormat="1" ht="52" customHeight="1">
      <c r="A150" s="311"/>
      <c r="B150" s="312"/>
      <c r="C150" s="1196" t="str">
        <f>"Der Anteil gesicherter Stellplätze in Sammelschließanlagen/Fahrradparkhaus" &amp; CHAR(10) &amp; "am Baubedarf von " &amp; IF(I134=0,0,TEXT(I134,"#.###")) &amp; " Stellplätzen beträgt mit den oben gemachten Angaben: " &amp; CHAR(10) &amp; IFERROR(ROUND((intern!M64/I134)*100,0),0) &amp; " % (= " &amp; IF(intern!M64=0,0,TEXT(intern!M64,"#.###")) &amp; " Stellplätze)."</f>
        <v>Der Anteil gesicherter Stellplätze in Sammelschließanlagen/Fahrradparkhaus
am Baubedarf von 0 Stellplätzen beträgt mit den oben gemachten Angaben: 
0 % (= 0 Stellplätze).</v>
      </c>
      <c r="D150" s="1197"/>
      <c r="E150" s="1197"/>
      <c r="F150" s="1197"/>
      <c r="G150" s="1197"/>
      <c r="H150" s="1197"/>
      <c r="I150" s="1197"/>
      <c r="J150" s="1198"/>
      <c r="K150" s="370"/>
      <c r="M150" s="1196" t="str">
        <f>"Der Anteil gesicherter Stellplätze in Sammelschließanlagen/Fahrradparkhaus" &amp; CHAR(10) &amp; "am Baubedarf von " &amp; IF(S134=0,0,TEXT(S134,"#.###")) &amp; " Stellplätzen beträgt mit den oben gemachten Angaben: " &amp; CHAR(10) &amp; IFERROR(ROUND((intern!W64/S134)*100,0),0) &amp; " % (= " &amp; IF(intern!W64=0,0,TEXT(intern!W64,"#.###")) &amp; " Stellplätze)."</f>
        <v>Der Anteil gesicherter Stellplätze in Sammelschließanlagen/Fahrradparkhaus
am Baubedarf von 0 Stellplätzen beträgt mit den oben gemachten Angaben: 
0 % (= 0 Stellplätze).</v>
      </c>
      <c r="N150" s="1197"/>
      <c r="O150" s="1197"/>
      <c r="P150" s="1197"/>
      <c r="Q150" s="1197"/>
      <c r="R150" s="1197"/>
      <c r="S150" s="1197"/>
      <c r="T150" s="1198"/>
      <c r="U150" s="311"/>
      <c r="W150" s="315"/>
      <c r="X150" s="522"/>
    </row>
    <row r="151" spans="1:24" ht="14" customHeight="1">
      <c r="A151" s="227"/>
      <c r="B151" s="307"/>
      <c r="C151" s="308"/>
      <c r="D151" s="308"/>
      <c r="E151" s="308"/>
      <c r="F151" s="308"/>
      <c r="G151" s="308"/>
      <c r="H151" s="308"/>
      <c r="I151" s="308"/>
      <c r="J151" s="308"/>
      <c r="K151" s="368"/>
      <c r="L151" s="308"/>
      <c r="M151" s="308"/>
      <c r="N151" s="308"/>
      <c r="O151" s="308"/>
      <c r="P151" s="308"/>
      <c r="Q151" s="308"/>
      <c r="R151" s="308"/>
      <c r="S151" s="308"/>
      <c r="T151" s="308"/>
      <c r="U151" s="310"/>
      <c r="W151" s="204"/>
      <c r="X151" s="504"/>
    </row>
    <row r="152" spans="1:24" ht="14" customHeight="1">
      <c r="A152" s="227"/>
      <c r="B152" s="254"/>
      <c r="C152" s="371"/>
      <c r="D152" s="371"/>
      <c r="E152" s="371"/>
      <c r="F152" s="371"/>
      <c r="G152" s="371"/>
      <c r="H152" s="371"/>
      <c r="I152" s="371"/>
      <c r="J152" s="371"/>
      <c r="K152" s="372"/>
      <c r="M152" s="371"/>
      <c r="N152" s="371"/>
      <c r="O152" s="371"/>
      <c r="P152" s="371"/>
      <c r="Q152" s="371"/>
      <c r="R152" s="373"/>
      <c r="S152" s="373"/>
      <c r="T152" s="373"/>
      <c r="U152" s="227"/>
      <c r="W152" s="204"/>
      <c r="X152" s="504"/>
    </row>
    <row r="153" spans="1:24" ht="24" customHeight="1">
      <c r="A153" s="227"/>
      <c r="B153" s="254"/>
      <c r="C153" s="1257" t="s">
        <v>718</v>
      </c>
      <c r="D153" s="1258"/>
      <c r="E153" s="1259"/>
      <c r="F153" s="363"/>
      <c r="G153" s="237"/>
      <c r="H153" s="865" t="s">
        <v>15</v>
      </c>
      <c r="I153" s="866"/>
      <c r="J153" s="855"/>
      <c r="K153" s="268"/>
      <c r="M153" s="1257" t="s">
        <v>718</v>
      </c>
      <c r="N153" s="1258"/>
      <c r="O153" s="1259"/>
      <c r="P153" s="363"/>
      <c r="Q153" s="237"/>
      <c r="R153" s="859" t="s">
        <v>15</v>
      </c>
      <c r="S153" s="860"/>
      <c r="T153" s="858"/>
      <c r="U153" s="227"/>
      <c r="W153" s="204"/>
      <c r="X153" s="504"/>
    </row>
    <row r="154" spans="1:24" ht="24" customHeight="1">
      <c r="A154" s="227"/>
      <c r="B154" s="254"/>
      <c r="C154" s="1260"/>
      <c r="D154" s="1261"/>
      <c r="E154" s="1262"/>
      <c r="F154" s="374"/>
      <c r="G154" s="861" t="s">
        <v>118</v>
      </c>
      <c r="H154" s="862"/>
      <c r="I154" s="856"/>
      <c r="J154" s="375"/>
      <c r="K154" s="268"/>
      <c r="M154" s="1260"/>
      <c r="N154" s="1261"/>
      <c r="O154" s="1262"/>
      <c r="P154" s="374"/>
      <c r="Q154" s="861" t="s">
        <v>118</v>
      </c>
      <c r="R154" s="862"/>
      <c r="S154" s="856"/>
      <c r="T154" s="375"/>
      <c r="U154" s="227"/>
      <c r="W154" s="204"/>
      <c r="X154" s="504"/>
    </row>
    <row r="155" spans="1:24" ht="24" customHeight="1">
      <c r="A155" s="227"/>
      <c r="B155" s="254"/>
      <c r="C155" s="1263"/>
      <c r="D155" s="1264"/>
      <c r="E155" s="1265"/>
      <c r="F155" s="863" t="s">
        <v>150</v>
      </c>
      <c r="G155" s="864"/>
      <c r="H155" s="857"/>
      <c r="I155" s="376"/>
      <c r="J155" s="375"/>
      <c r="K155" s="268"/>
      <c r="M155" s="1263"/>
      <c r="N155" s="1264"/>
      <c r="O155" s="1265"/>
      <c r="P155" s="863" t="s">
        <v>150</v>
      </c>
      <c r="Q155" s="864"/>
      <c r="R155" s="857"/>
      <c r="S155" s="376"/>
      <c r="T155" s="375"/>
      <c r="U155" s="227"/>
      <c r="W155" s="204"/>
      <c r="X155" s="504"/>
    </row>
    <row r="156" spans="1:24" ht="21" customHeight="1">
      <c r="A156" s="227"/>
      <c r="B156" s="254"/>
      <c r="C156" s="1301" t="s">
        <v>133</v>
      </c>
      <c r="D156" s="1302"/>
      <c r="E156" s="1302"/>
      <c r="F156" s="1303"/>
      <c r="G156" s="1303"/>
      <c r="H156" s="377">
        <f>E142</f>
        <v>0</v>
      </c>
      <c r="I156" s="378">
        <f>G142</f>
        <v>0</v>
      </c>
      <c r="J156" s="379">
        <f>I142</f>
        <v>0</v>
      </c>
      <c r="K156" s="268"/>
      <c r="M156" s="1301" t="s">
        <v>133</v>
      </c>
      <c r="N156" s="1302"/>
      <c r="O156" s="1302"/>
      <c r="P156" s="1303"/>
      <c r="Q156" s="1303"/>
      <c r="R156" s="377">
        <f>O142</f>
        <v>0</v>
      </c>
      <c r="S156" s="378">
        <f>Q142</f>
        <v>0</v>
      </c>
      <c r="T156" s="379">
        <f>S142</f>
        <v>0</v>
      </c>
      <c r="U156" s="227"/>
      <c r="W156" s="204"/>
      <c r="X156" s="504"/>
    </row>
    <row r="157" spans="1:24" ht="21" customHeight="1">
      <c r="A157" s="227"/>
      <c r="B157" s="254"/>
      <c r="C157" s="1304" t="s">
        <v>121</v>
      </c>
      <c r="D157" s="1305"/>
      <c r="E157" s="1305"/>
      <c r="F157" s="1305"/>
      <c r="G157" s="1305"/>
      <c r="H157" s="380">
        <f>SUM(H159:H162,H164:H168)</f>
        <v>0</v>
      </c>
      <c r="I157" s="381">
        <f>SUM(I159:I163)</f>
        <v>0</v>
      </c>
      <c r="J157" s="382">
        <f>SUM(J159:J162)</f>
        <v>0</v>
      </c>
      <c r="K157" s="268"/>
      <c r="M157" s="1304" t="s">
        <v>121</v>
      </c>
      <c r="N157" s="1305"/>
      <c r="O157" s="1305"/>
      <c r="P157" s="1305"/>
      <c r="Q157" s="1305"/>
      <c r="R157" s="380">
        <f>SUM(R159:R162,R164:R168)</f>
        <v>0</v>
      </c>
      <c r="S157" s="381">
        <f>SUM(S159:S163)</f>
        <v>0</v>
      </c>
      <c r="T157" s="382">
        <f>SUM(T159:T162)</f>
        <v>0</v>
      </c>
      <c r="U157" s="227"/>
      <c r="W157" s="204"/>
      <c r="X157" s="504"/>
    </row>
    <row r="158" spans="1:24" ht="21" customHeight="1">
      <c r="A158" s="227"/>
      <c r="B158" s="254"/>
      <c r="C158" s="1306" t="s">
        <v>132</v>
      </c>
      <c r="D158" s="1307"/>
      <c r="E158" s="1307"/>
      <c r="F158" s="1307"/>
      <c r="G158" s="1307"/>
      <c r="H158" s="383">
        <f>H156-H157</f>
        <v>0</v>
      </c>
      <c r="I158" s="383">
        <f t="shared" ref="I158:J158" si="8">I156-I157</f>
        <v>0</v>
      </c>
      <c r="J158" s="383">
        <f t="shared" si="8"/>
        <v>0</v>
      </c>
      <c r="K158" s="268"/>
      <c r="M158" s="1306" t="s">
        <v>132</v>
      </c>
      <c r="N158" s="1307"/>
      <c r="O158" s="1307"/>
      <c r="P158" s="1307"/>
      <c r="Q158" s="1307"/>
      <c r="R158" s="383">
        <f>R156-R157</f>
        <v>0</v>
      </c>
      <c r="S158" s="383">
        <f t="shared" ref="S158:T158" si="9">S156-S157</f>
        <v>0</v>
      </c>
      <c r="T158" s="383">
        <f t="shared" si="9"/>
        <v>0</v>
      </c>
      <c r="U158" s="227"/>
      <c r="W158" s="204"/>
      <c r="X158" s="504"/>
    </row>
    <row r="159" spans="1:24" ht="21" customHeight="1">
      <c r="A159" s="227"/>
      <c r="B159" s="254"/>
      <c r="C159" s="1267" t="s">
        <v>5</v>
      </c>
      <c r="D159" s="1268"/>
      <c r="E159" s="1269"/>
      <c r="F159" s="1230" t="s">
        <v>714</v>
      </c>
      <c r="G159" s="1231"/>
      <c r="H159" s="384"/>
      <c r="I159" s="384"/>
      <c r="J159" s="384"/>
      <c r="K159" s="268"/>
      <c r="M159" s="1280" t="s">
        <v>5</v>
      </c>
      <c r="N159" s="1281"/>
      <c r="O159" s="1282"/>
      <c r="P159" s="1242" t="s">
        <v>714</v>
      </c>
      <c r="Q159" s="1231"/>
      <c r="R159" s="384"/>
      <c r="S159" s="384"/>
      <c r="T159" s="384"/>
      <c r="U159" s="227"/>
      <c r="W159" s="204"/>
      <c r="X159" s="504"/>
    </row>
    <row r="160" spans="1:24" ht="21" customHeight="1">
      <c r="A160" s="227"/>
      <c r="B160" s="254"/>
      <c r="C160" s="1270" t="s">
        <v>296</v>
      </c>
      <c r="D160" s="1271"/>
      <c r="E160" s="1272"/>
      <c r="F160" s="1232"/>
      <c r="G160" s="1233"/>
      <c r="H160" s="385"/>
      <c r="I160" s="385"/>
      <c r="J160" s="385"/>
      <c r="K160" s="268"/>
      <c r="M160" s="1270" t="s">
        <v>296</v>
      </c>
      <c r="N160" s="1271"/>
      <c r="O160" s="1283"/>
      <c r="P160" s="1243"/>
      <c r="Q160" s="1233"/>
      <c r="R160" s="385"/>
      <c r="S160" s="385"/>
      <c r="T160" s="385"/>
      <c r="U160" s="227"/>
      <c r="W160" s="204"/>
      <c r="X160" s="504"/>
    </row>
    <row r="161" spans="1:24" ht="21" customHeight="1">
      <c r="A161" s="227"/>
      <c r="B161" s="254"/>
      <c r="C161" s="1273" t="s">
        <v>120</v>
      </c>
      <c r="D161" s="1274"/>
      <c r="E161" s="1275"/>
      <c r="F161" s="1232"/>
      <c r="G161" s="1233"/>
      <c r="H161" s="845"/>
      <c r="I161" s="385"/>
      <c r="J161" s="385"/>
      <c r="K161" s="268"/>
      <c r="M161" s="1273" t="s">
        <v>120</v>
      </c>
      <c r="N161" s="1274"/>
      <c r="O161" s="1275"/>
      <c r="P161" s="1243"/>
      <c r="Q161" s="1233"/>
      <c r="R161" s="845"/>
      <c r="S161" s="845"/>
      <c r="T161" s="845"/>
      <c r="U161" s="227"/>
      <c r="W161" s="204"/>
      <c r="X161" s="504"/>
    </row>
    <row r="162" spans="1:24" ht="21" customHeight="1">
      <c r="A162" s="227"/>
      <c r="B162" s="254"/>
      <c r="C162" s="1236" t="s">
        <v>716</v>
      </c>
      <c r="D162" s="1237"/>
      <c r="E162" s="1238"/>
      <c r="F162" s="1234"/>
      <c r="G162" s="1235"/>
      <c r="H162" s="386"/>
      <c r="I162" s="841"/>
      <c r="J162" s="841"/>
      <c r="K162" s="268"/>
      <c r="M162" s="1239" t="s">
        <v>716</v>
      </c>
      <c r="N162" s="1240"/>
      <c r="O162" s="1241"/>
      <c r="P162" s="1244"/>
      <c r="Q162" s="1235"/>
      <c r="R162" s="386"/>
      <c r="S162" s="386"/>
      <c r="T162" s="386"/>
      <c r="U162" s="227"/>
      <c r="W162" s="204"/>
      <c r="X162" s="504"/>
    </row>
    <row r="163" spans="1:24" ht="21" customHeight="1">
      <c r="A163" s="227"/>
      <c r="B163" s="254"/>
      <c r="C163" s="1248" t="s">
        <v>228</v>
      </c>
      <c r="D163" s="1248"/>
      <c r="E163" s="1248"/>
      <c r="F163" s="1248"/>
      <c r="G163" s="1249"/>
      <c r="H163" s="387" t="s">
        <v>105</v>
      </c>
      <c r="I163" s="388"/>
      <c r="J163" s="387" t="s">
        <v>105</v>
      </c>
      <c r="K163" s="268"/>
      <c r="M163" s="1248" t="s">
        <v>228</v>
      </c>
      <c r="N163" s="1248"/>
      <c r="O163" s="1248"/>
      <c r="P163" s="1248"/>
      <c r="Q163" s="1249"/>
      <c r="R163" s="387" t="s">
        <v>105</v>
      </c>
      <c r="S163" s="388"/>
      <c r="T163" s="387" t="s">
        <v>105</v>
      </c>
      <c r="U163" s="227"/>
      <c r="W163" s="204"/>
      <c r="X163" s="504"/>
    </row>
    <row r="164" spans="1:24" ht="21" customHeight="1">
      <c r="A164" s="227"/>
      <c r="B164" s="254"/>
      <c r="C164" s="1276" t="s">
        <v>5</v>
      </c>
      <c r="D164" s="1277"/>
      <c r="E164" s="1278"/>
      <c r="F164" s="1242" t="s">
        <v>151</v>
      </c>
      <c r="G164" s="1231"/>
      <c r="H164" s="384"/>
      <c r="I164" s="1224" t="s">
        <v>706</v>
      </c>
      <c r="J164" s="1225"/>
      <c r="K164" s="268"/>
      <c r="M164" s="1276" t="s">
        <v>5</v>
      </c>
      <c r="N164" s="1277"/>
      <c r="O164" s="1278"/>
      <c r="P164" s="1242" t="s">
        <v>151</v>
      </c>
      <c r="Q164" s="1231"/>
      <c r="R164" s="384"/>
      <c r="S164" s="1224" t="s">
        <v>706</v>
      </c>
      <c r="T164" s="1225"/>
      <c r="U164" s="227"/>
      <c r="W164" s="204"/>
      <c r="X164" s="504"/>
    </row>
    <row r="165" spans="1:24" ht="21" customHeight="1">
      <c r="A165" s="227"/>
      <c r="B165" s="254"/>
      <c r="C165" s="1273" t="s">
        <v>296</v>
      </c>
      <c r="D165" s="1274"/>
      <c r="E165" s="1279"/>
      <c r="F165" s="1243"/>
      <c r="G165" s="1233"/>
      <c r="H165" s="385"/>
      <c r="I165" s="1226"/>
      <c r="J165" s="1227"/>
      <c r="K165" s="268"/>
      <c r="M165" s="1273" t="s">
        <v>296</v>
      </c>
      <c r="N165" s="1274"/>
      <c r="O165" s="1279"/>
      <c r="P165" s="1243"/>
      <c r="Q165" s="1233"/>
      <c r="R165" s="385"/>
      <c r="S165" s="1226"/>
      <c r="T165" s="1227"/>
      <c r="U165" s="227"/>
      <c r="W165" s="204"/>
      <c r="X165" s="504"/>
    </row>
    <row r="166" spans="1:24" ht="21" customHeight="1">
      <c r="A166" s="227"/>
      <c r="B166" s="254"/>
      <c r="C166" s="1280" t="s">
        <v>120</v>
      </c>
      <c r="D166" s="1281"/>
      <c r="E166" s="1282"/>
      <c r="F166" s="1243"/>
      <c r="G166" s="1233"/>
      <c r="H166" s="845"/>
      <c r="I166" s="1226"/>
      <c r="J166" s="1227"/>
      <c r="K166" s="268"/>
      <c r="M166" s="1280" t="s">
        <v>120</v>
      </c>
      <c r="N166" s="1281"/>
      <c r="O166" s="1282"/>
      <c r="P166" s="1243"/>
      <c r="Q166" s="1233"/>
      <c r="R166" s="845"/>
      <c r="S166" s="1226"/>
      <c r="T166" s="1227"/>
      <c r="U166" s="227"/>
      <c r="W166" s="204"/>
      <c r="X166" s="504"/>
    </row>
    <row r="167" spans="1:24" ht="21" customHeight="1">
      <c r="A167" s="227"/>
      <c r="B167" s="254"/>
      <c r="C167" s="1245" t="s">
        <v>705</v>
      </c>
      <c r="D167" s="1246"/>
      <c r="E167" s="1247"/>
      <c r="F167" s="1244"/>
      <c r="G167" s="1235"/>
      <c r="H167" s="386"/>
      <c r="I167" s="1228"/>
      <c r="J167" s="1229"/>
      <c r="K167" s="268"/>
      <c r="M167" s="1245" t="s">
        <v>705</v>
      </c>
      <c r="N167" s="1246"/>
      <c r="O167" s="1247"/>
      <c r="P167" s="1244"/>
      <c r="Q167" s="1235"/>
      <c r="R167" s="386"/>
      <c r="S167" s="1228"/>
      <c r="T167" s="1229"/>
      <c r="U167" s="227"/>
      <c r="W167" s="204"/>
      <c r="X167" s="504"/>
    </row>
    <row r="168" spans="1:24" ht="21" customHeight="1">
      <c r="A168" s="227"/>
      <c r="B168" s="254"/>
      <c r="C168" s="1249" t="s">
        <v>292</v>
      </c>
      <c r="D168" s="1266"/>
      <c r="E168" s="1266"/>
      <c r="F168" s="1266"/>
      <c r="G168" s="1266"/>
      <c r="H168" s="388"/>
      <c r="I168" s="790" t="s">
        <v>153</v>
      </c>
      <c r="J168" s="791"/>
      <c r="K168" s="268"/>
      <c r="M168" s="1249" t="s">
        <v>292</v>
      </c>
      <c r="N168" s="1266"/>
      <c r="O168" s="1266"/>
      <c r="P168" s="1266"/>
      <c r="Q168" s="1266"/>
      <c r="R168" s="388"/>
      <c r="S168" s="790" t="s">
        <v>153</v>
      </c>
      <c r="T168" s="791"/>
      <c r="U168" s="227"/>
      <c r="W168" s="204"/>
      <c r="X168" s="504"/>
    </row>
    <row r="169" spans="1:24" ht="18" customHeight="1">
      <c r="A169" s="227"/>
      <c r="B169" s="254"/>
      <c r="C169" s="389"/>
      <c r="J169" s="700" t="s">
        <v>227</v>
      </c>
      <c r="K169" s="268"/>
      <c r="M169" s="389"/>
      <c r="T169" s="700" t="s">
        <v>227</v>
      </c>
      <c r="U169" s="227"/>
      <c r="W169" s="204"/>
      <c r="X169" s="504"/>
    </row>
    <row r="170" spans="1:24" ht="14" customHeight="1">
      <c r="A170" s="227"/>
      <c r="B170" s="254"/>
      <c r="C170" s="389"/>
      <c r="J170" s="701" t="s">
        <v>293</v>
      </c>
      <c r="K170" s="268"/>
      <c r="M170" s="389"/>
      <c r="T170" s="701" t="s">
        <v>293</v>
      </c>
      <c r="U170" s="227"/>
      <c r="W170" s="204"/>
      <c r="X170" s="504"/>
    </row>
    <row r="171" spans="1:24" ht="18" customHeight="1">
      <c r="A171" s="227"/>
      <c r="B171" s="254"/>
      <c r="F171" s="260"/>
      <c r="J171" s="405" t="s">
        <v>734</v>
      </c>
      <c r="K171" s="268"/>
      <c r="T171" s="405" t="s">
        <v>734</v>
      </c>
      <c r="U171" s="227"/>
      <c r="W171" s="204"/>
      <c r="X171" s="504"/>
    </row>
    <row r="172" spans="1:24" ht="14" customHeight="1" thickBot="1">
      <c r="A172" s="227"/>
      <c r="B172" s="255"/>
      <c r="C172" s="240"/>
      <c r="D172" s="240"/>
      <c r="E172" s="240"/>
      <c r="F172" s="240"/>
      <c r="G172" s="240"/>
      <c r="H172" s="240"/>
      <c r="I172" s="240"/>
      <c r="J172" s="404"/>
      <c r="K172" s="240"/>
      <c r="L172" s="240"/>
      <c r="M172" s="240"/>
      <c r="N172" s="240"/>
      <c r="O172" s="240"/>
      <c r="P172" s="240"/>
      <c r="Q172" s="240"/>
      <c r="R172" s="240"/>
      <c r="S172" s="240"/>
      <c r="T172" s="404"/>
      <c r="U172" s="241"/>
      <c r="V172" s="254"/>
      <c r="W172" s="204"/>
      <c r="X172" s="504"/>
    </row>
    <row r="173" spans="1:24" ht="24" customHeight="1">
      <c r="D173" s="250"/>
      <c r="E173" s="250"/>
      <c r="F173" s="250"/>
      <c r="G173" s="250"/>
      <c r="H173" s="250"/>
      <c r="I173" s="250"/>
      <c r="J173" s="250"/>
      <c r="K173" s="250"/>
      <c r="L173" s="250"/>
      <c r="M173" s="250"/>
      <c r="N173" s="250"/>
      <c r="O173" s="250"/>
      <c r="P173" s="250"/>
      <c r="Q173" s="250"/>
      <c r="R173" s="250"/>
      <c r="S173" s="250"/>
      <c r="W173" s="204"/>
      <c r="X173" s="504"/>
    </row>
    <row r="174" spans="1:24" ht="14" customHeight="1">
      <c r="B174" s="391"/>
      <c r="C174" s="391"/>
      <c r="D174" s="1250" t="str">
        <f>IF(
AND(VA_FEHLERMODUL=0,VA_FEHLER_AB=0,VA_FEHLER_CD=0),"Ihre Daten können nun in die Kostenanalyse in Teil D übernommen werden.",IF(
AND(VA_FEHLERMODUL=0,VA_FEHLER_AB=0,VA_FEHLER_CD=1),"Bitte prüfen Sie oben die Zuordnung/Verteilung der Stellplätze. Für die Kostenanalyse in Teil D sind noch nicht alle Stellplätze korrekt zugeordnet/verteilt.",
"Bitte prüfen Sie Ihre Eingaben. Für die Kostenanalyse in Teil D sind noch nicht alle Daten korrekt eingegeben."))</f>
        <v>Bitte prüfen Sie Ihre Eingaben. Für die Kostenanalyse in Teil D sind noch nicht alle Daten korrekt eingegeben.</v>
      </c>
      <c r="E174" s="1250"/>
      <c r="F174" s="1250"/>
      <c r="G174" s="1250"/>
      <c r="H174" s="1250"/>
      <c r="I174" s="1250"/>
      <c r="J174" s="1250"/>
      <c r="K174" s="1250"/>
      <c r="L174" s="1250"/>
      <c r="M174" s="1250"/>
      <c r="N174" s="1250"/>
      <c r="O174" s="1250"/>
      <c r="P174" s="1250"/>
      <c r="Q174" s="1250"/>
      <c r="R174" s="1250"/>
      <c r="S174" s="1250"/>
      <c r="T174" s="391"/>
      <c r="U174" s="391"/>
      <c r="W174" s="204"/>
      <c r="X174" s="504"/>
    </row>
    <row r="175" spans="1:24" ht="14" customHeight="1">
      <c r="D175" s="392"/>
      <c r="E175" s="392"/>
      <c r="F175" s="392"/>
      <c r="G175" s="392"/>
      <c r="H175" s="392"/>
      <c r="I175" s="392"/>
      <c r="J175" s="392"/>
      <c r="K175" s="392"/>
      <c r="L175" s="392"/>
      <c r="M175" s="392"/>
      <c r="N175" s="392"/>
      <c r="O175" s="392"/>
      <c r="P175" s="392"/>
      <c r="Q175" s="392"/>
      <c r="R175" s="392"/>
      <c r="S175" s="392"/>
      <c r="W175" s="204"/>
      <c r="X175" s="504"/>
    </row>
    <row r="176" spans="1:24" ht="24" customHeight="1">
      <c r="W176" s="204"/>
      <c r="X176" s="504"/>
    </row>
    <row r="177" spans="1:24" ht="14" customHeight="1">
      <c r="W177" s="204"/>
      <c r="X177" s="504"/>
    </row>
    <row r="178" spans="1:24" ht="5" customHeight="1">
      <c r="A178" s="204"/>
      <c r="B178" s="204"/>
      <c r="C178" s="204"/>
      <c r="D178" s="204"/>
      <c r="E178" s="204"/>
      <c r="F178" s="204"/>
      <c r="G178" s="204"/>
      <c r="H178" s="204"/>
      <c r="I178" s="204"/>
      <c r="J178" s="204"/>
      <c r="K178" s="204"/>
      <c r="L178" s="204"/>
      <c r="M178" s="204"/>
      <c r="N178" s="204"/>
      <c r="O178" s="204"/>
      <c r="P178" s="204"/>
      <c r="Q178" s="204"/>
      <c r="R178" s="204"/>
      <c r="S178" s="204"/>
      <c r="T178" s="204"/>
      <c r="U178" s="204"/>
      <c r="V178" s="204"/>
      <c r="W178" s="204"/>
      <c r="X178" s="504"/>
    </row>
    <row r="179" spans="1:24" ht="45" customHeight="1">
      <c r="A179" s="504"/>
      <c r="B179" s="504"/>
      <c r="C179" s="504"/>
      <c r="D179" s="504"/>
      <c r="E179" s="504"/>
      <c r="F179" s="1035" t="s">
        <v>701</v>
      </c>
      <c r="G179" s="1035"/>
      <c r="H179" s="1035"/>
      <c r="I179" s="1035"/>
      <c r="J179" s="1035"/>
      <c r="K179" s="1035"/>
      <c r="L179" s="1035"/>
      <c r="M179" s="1035"/>
      <c r="N179" s="1035"/>
      <c r="O179" s="1035"/>
      <c r="P179" s="1035"/>
      <c r="Q179" s="504"/>
      <c r="R179" s="504"/>
      <c r="S179" s="504"/>
      <c r="T179" s="504"/>
      <c r="U179" s="504"/>
      <c r="V179" s="504"/>
      <c r="W179" s="504"/>
      <c r="X179" s="504"/>
    </row>
    <row r="180" spans="1:24" s="301" customFormat="1" ht="26.25" customHeight="1"/>
    <row r="182" spans="1:24" ht="18" customHeight="1">
      <c r="A182" s="505"/>
    </row>
  </sheetData>
  <sheetProtection algorithmName="SHA-512" hashValue="rbVJDpTr/Eb/E/PAzWBSX6AZ7MfCOuOOgsoqqv429JmzsVTQU/5DrOW4uUuamGWQ3x5FE2CNOEXvagSM6eyhYw==" saltValue="pIlBz5y3+K3MYN8JS07JKQ==" spinCount="100000" sheet="1" objects="1" scenarios="1"/>
  <mergeCells count="200">
    <mergeCell ref="F179:P179"/>
    <mergeCell ref="C127:G127"/>
    <mergeCell ref="N89:O89"/>
    <mergeCell ref="N91:O91"/>
    <mergeCell ref="N94:O94"/>
    <mergeCell ref="N96:O96"/>
    <mergeCell ref="R98:S98"/>
    <mergeCell ref="N98:O98"/>
    <mergeCell ref="C132:J132"/>
    <mergeCell ref="G145:H145"/>
    <mergeCell ref="I145:J145"/>
    <mergeCell ref="C145:F145"/>
    <mergeCell ref="M144:N144"/>
    <mergeCell ref="O144:P144"/>
    <mergeCell ref="C144:D144"/>
    <mergeCell ref="E144:F144"/>
    <mergeCell ref="G144:H144"/>
    <mergeCell ref="M142:N142"/>
    <mergeCell ref="O142:P142"/>
    <mergeCell ref="S141:T141"/>
    <mergeCell ref="Q144:R144"/>
    <mergeCell ref="Q140:T140"/>
    <mergeCell ref="S134:T134"/>
    <mergeCell ref="S136:T136"/>
    <mergeCell ref="I134:J134"/>
    <mergeCell ref="I136:J136"/>
    <mergeCell ref="I138:J138"/>
    <mergeCell ref="G140:J140"/>
    <mergeCell ref="C156:G156"/>
    <mergeCell ref="C157:G157"/>
    <mergeCell ref="C158:G158"/>
    <mergeCell ref="M158:Q158"/>
    <mergeCell ref="M156:Q156"/>
    <mergeCell ref="M157:Q157"/>
    <mergeCell ref="C148:J148"/>
    <mergeCell ref="C146:H146"/>
    <mergeCell ref="Q141:R141"/>
    <mergeCell ref="I144:J144"/>
    <mergeCell ref="I146:J146"/>
    <mergeCell ref="M141:N141"/>
    <mergeCell ref="O141:P141"/>
    <mergeCell ref="C147:H147"/>
    <mergeCell ref="I147:J147"/>
    <mergeCell ref="C142:D142"/>
    <mergeCell ref="E142:F142"/>
    <mergeCell ref="G142:H142"/>
    <mergeCell ref="I142:J142"/>
    <mergeCell ref="C150:J150"/>
    <mergeCell ref="R42:S42"/>
    <mergeCell ref="R44:S44"/>
    <mergeCell ref="R46:S46"/>
    <mergeCell ref="R49:S49"/>
    <mergeCell ref="R51:S51"/>
    <mergeCell ref="R56:S56"/>
    <mergeCell ref="R64:S64"/>
    <mergeCell ref="R66:S66"/>
    <mergeCell ref="S144:T144"/>
    <mergeCell ref="R96:S96"/>
    <mergeCell ref="R68:S68"/>
    <mergeCell ref="R72:S72"/>
    <mergeCell ref="R74:S74"/>
    <mergeCell ref="R54:S54"/>
    <mergeCell ref="R76:S76"/>
    <mergeCell ref="R87:S87"/>
    <mergeCell ref="R89:S89"/>
    <mergeCell ref="R91:S91"/>
    <mergeCell ref="R94:S94"/>
    <mergeCell ref="Q142:R142"/>
    <mergeCell ref="S142:T142"/>
    <mergeCell ref="R83:S83"/>
    <mergeCell ref="S138:T138"/>
    <mergeCell ref="M132:T132"/>
    <mergeCell ref="C8:J8"/>
    <mergeCell ref="M16:N20"/>
    <mergeCell ref="O16:Q16"/>
    <mergeCell ref="O17:Q17"/>
    <mergeCell ref="O18:Q18"/>
    <mergeCell ref="O20:Q20"/>
    <mergeCell ref="E15:G15"/>
    <mergeCell ref="E16:G16"/>
    <mergeCell ref="E17:G17"/>
    <mergeCell ref="E18:G18"/>
    <mergeCell ref="E20:G20"/>
    <mergeCell ref="C10:D10"/>
    <mergeCell ref="O19:Q19"/>
    <mergeCell ref="M8:T8"/>
    <mergeCell ref="M10:N10"/>
    <mergeCell ref="M11:N15"/>
    <mergeCell ref="O11:Q11"/>
    <mergeCell ref="O12:Q12"/>
    <mergeCell ref="O13:Q13"/>
    <mergeCell ref="O15:Q15"/>
    <mergeCell ref="O14:Q14"/>
    <mergeCell ref="E12:G12"/>
    <mergeCell ref="E13:G13"/>
    <mergeCell ref="E11:G11"/>
    <mergeCell ref="N87:O87"/>
    <mergeCell ref="N54:O54"/>
    <mergeCell ref="N56:O56"/>
    <mergeCell ref="N64:O64"/>
    <mergeCell ref="N66:O66"/>
    <mergeCell ref="N68:O68"/>
    <mergeCell ref="E28:G28"/>
    <mergeCell ref="E29:G29"/>
    <mergeCell ref="N42:O42"/>
    <mergeCell ref="N44:O44"/>
    <mergeCell ref="N46:O46"/>
    <mergeCell ref="N49:O49"/>
    <mergeCell ref="N72:O72"/>
    <mergeCell ref="N74:O74"/>
    <mergeCell ref="C37:G37"/>
    <mergeCell ref="C38:G38"/>
    <mergeCell ref="E30:G30"/>
    <mergeCell ref="E31:G31"/>
    <mergeCell ref="E32:G32"/>
    <mergeCell ref="N83:O83"/>
    <mergeCell ref="N76:O76"/>
    <mergeCell ref="A1:B1"/>
    <mergeCell ref="R1:T1"/>
    <mergeCell ref="E141:F141"/>
    <mergeCell ref="G141:H141"/>
    <mergeCell ref="I141:J141"/>
    <mergeCell ref="C141:D141"/>
    <mergeCell ref="M28:N32"/>
    <mergeCell ref="O28:Q28"/>
    <mergeCell ref="O29:Q29"/>
    <mergeCell ref="O30:Q30"/>
    <mergeCell ref="O31:Q31"/>
    <mergeCell ref="O32:Q32"/>
    <mergeCell ref="O22:Q22"/>
    <mergeCell ref="O24:Q24"/>
    <mergeCell ref="M25:N27"/>
    <mergeCell ref="O25:Q25"/>
    <mergeCell ref="O27:Q27"/>
    <mergeCell ref="O23:Q23"/>
    <mergeCell ref="C25:D27"/>
    <mergeCell ref="C11:D15"/>
    <mergeCell ref="C16:D20"/>
    <mergeCell ref="E21:G21"/>
    <mergeCell ref="E27:G27"/>
    <mergeCell ref="E22:G22"/>
    <mergeCell ref="D174:S174"/>
    <mergeCell ref="S146:T146"/>
    <mergeCell ref="M145:P145"/>
    <mergeCell ref="Q145:R145"/>
    <mergeCell ref="S145:T145"/>
    <mergeCell ref="M146:R146"/>
    <mergeCell ref="M148:T148"/>
    <mergeCell ref="C153:E155"/>
    <mergeCell ref="M168:Q168"/>
    <mergeCell ref="C168:G168"/>
    <mergeCell ref="C159:E159"/>
    <mergeCell ref="C160:E160"/>
    <mergeCell ref="C161:E161"/>
    <mergeCell ref="C164:E164"/>
    <mergeCell ref="C165:E165"/>
    <mergeCell ref="C166:E166"/>
    <mergeCell ref="C163:G163"/>
    <mergeCell ref="M164:O164"/>
    <mergeCell ref="M165:O165"/>
    <mergeCell ref="M166:O166"/>
    <mergeCell ref="M153:O155"/>
    <mergeCell ref="M159:O159"/>
    <mergeCell ref="M160:O160"/>
    <mergeCell ref="M161:O161"/>
    <mergeCell ref="S164:T167"/>
    <mergeCell ref="F159:G162"/>
    <mergeCell ref="C162:E162"/>
    <mergeCell ref="M162:O162"/>
    <mergeCell ref="P159:Q162"/>
    <mergeCell ref="C167:E167"/>
    <mergeCell ref="M167:O167"/>
    <mergeCell ref="F164:G167"/>
    <mergeCell ref="P164:Q167"/>
    <mergeCell ref="I164:J167"/>
    <mergeCell ref="M163:Q163"/>
    <mergeCell ref="Y1:AA1"/>
    <mergeCell ref="M150:T150"/>
    <mergeCell ref="C143:D143"/>
    <mergeCell ref="M143:N143"/>
    <mergeCell ref="E143:F143"/>
    <mergeCell ref="G143:H143"/>
    <mergeCell ref="I143:J143"/>
    <mergeCell ref="O143:P143"/>
    <mergeCell ref="Q143:R143"/>
    <mergeCell ref="S143:T143"/>
    <mergeCell ref="S147:T147"/>
    <mergeCell ref="M147:R147"/>
    <mergeCell ref="O26:Q26"/>
    <mergeCell ref="M21:N24"/>
    <mergeCell ref="N51:O51"/>
    <mergeCell ref="O21:Q21"/>
    <mergeCell ref="C21:D24"/>
    <mergeCell ref="C28:D32"/>
    <mergeCell ref="E14:G14"/>
    <mergeCell ref="E19:G19"/>
    <mergeCell ref="E23:G23"/>
    <mergeCell ref="E26:G26"/>
    <mergeCell ref="E24:G24"/>
    <mergeCell ref="E25:G25"/>
  </mergeCells>
  <conditionalFormatting sqref="A1:Q1">
    <cfRule type="expression" dxfId="91" priority="8">
      <formula>OR(VA_FEHLER_AB&gt;0,VA_FEHLER_C&gt;0,VA_FEHLER_D&gt;0)</formula>
    </cfRule>
  </conditionalFormatting>
  <conditionalFormatting sqref="B174:U174">
    <cfRule type="expression" dxfId="90" priority="18">
      <formula>AND(VA_FEHLERMODUL=0,VA_FEHLER_AB=0,VA_FEHLER_CD=0)</formula>
    </cfRule>
  </conditionalFormatting>
  <conditionalFormatting sqref="C6">
    <cfRule type="expression" dxfId="89" priority="91">
      <formula>OR(VA_FEHLERMODUL&gt;0,VA_FEHLER_AB&gt;0)</formula>
    </cfRule>
  </conditionalFormatting>
  <conditionalFormatting sqref="C40:C98">
    <cfRule type="expression" dxfId="88" priority="39">
      <formula>OR(VA_FEHLERMODUL&gt;0,VA_FEHLER_AB&gt;0)</formula>
    </cfRule>
  </conditionalFormatting>
  <conditionalFormatting sqref="C62">
    <cfRule type="expression" dxfId="87" priority="32">
      <formula>VA_TFAUSWAHL&lt;&gt;3</formula>
    </cfRule>
  </conditionalFormatting>
  <conditionalFormatting sqref="C79:C83">
    <cfRule type="expression" dxfId="86" priority="30">
      <formula>VP_5_ERSTMALIGSICHER=0</formula>
    </cfRule>
  </conditionalFormatting>
  <conditionalFormatting sqref="C157 M157">
    <cfRule type="expression" dxfId="85" priority="10">
      <formula>OR(VA_FEHLERMODUL&gt;0,VA_FEHLER_AB&gt;0)</formula>
    </cfRule>
  </conditionalFormatting>
  <conditionalFormatting sqref="C38:G38">
    <cfRule type="expression" dxfId="84" priority="38">
      <formula>OR(VA_BESTANDSEINGABE&lt;2,VA_FEHLER_AB&gt;0,VA_FEHLERMODUL&gt;0)</formula>
    </cfRule>
    <cfRule type="expression" dxfId="83" priority="33">
      <formula>AND(VA_BESTANDSEINGABE=2,VA_FEHLERMODUL&gt;0)</formula>
    </cfRule>
  </conditionalFormatting>
  <conditionalFormatting sqref="C10:J32 M10:T32">
    <cfRule type="expression" dxfId="82" priority="90">
      <formula>OR(VA_FEHLERMODUL&gt;0,VA_FEHLER_AB&gt;0)</formula>
    </cfRule>
  </conditionalFormatting>
  <conditionalFormatting sqref="C141:J150 M141:T150 C153:J171 M153:T171">
    <cfRule type="expression" dxfId="81" priority="75">
      <formula>OR(VA_FEHLERMODUL&gt;0,VA_FEHLER_AB&gt;0)</formula>
    </cfRule>
  </conditionalFormatting>
  <conditionalFormatting sqref="C142:J147 M142:T147 C150 M150 H153:J153 R153:T153 G154:J154 Q154:T154 F155:J155 P155:T155 H156:J163 R156:T163 H164:H168 R164:R168">
    <cfRule type="expression" dxfId="80" priority="74">
      <formula>OR(VA_FEHLERMODUL&gt;0,VA_FEHLER_AB&gt;0)</formula>
    </cfRule>
  </conditionalFormatting>
  <conditionalFormatting sqref="G140">
    <cfRule type="expression" dxfId="79" priority="23">
      <formula>AND(VA_FEHLERMODUL=0,VA_FEHLER_AB=0,($G$143+$I$143)&lt;$I$136)</formula>
    </cfRule>
  </conditionalFormatting>
  <conditionalFormatting sqref="G145:J145">
    <cfRule type="expression" dxfId="78" priority="28">
      <formula>AND(VA_FEHLERMODUL=0,VA_FEHLER_AB=0,$G$145+$I$145&gt;100)</formula>
    </cfRule>
  </conditionalFormatting>
  <conditionalFormatting sqref="H157:J157 R157:T157">
    <cfRule type="expression" dxfId="77" priority="95">
      <formula>H157&gt;H156</formula>
    </cfRule>
    <cfRule type="expression" dxfId="76" priority="92">
      <formula>H157&lt;H156</formula>
    </cfRule>
    <cfRule type="expression" dxfId="75" priority="94">
      <formula>H157=H156</formula>
    </cfRule>
  </conditionalFormatting>
  <conditionalFormatting sqref="I136 G141:J141 C143 G143:J143">
    <cfRule type="expression" dxfId="74" priority="24">
      <formula>AND(VA_FEHLERMODUL=0,VA_FEHLER_AB=0,($G$143+$I$143)&lt;$I$136)</formula>
    </cfRule>
  </conditionalFormatting>
  <conditionalFormatting sqref="K60">
    <cfRule type="cellIs" dxfId="73" priority="40" operator="lessThan">
      <formula>0</formula>
    </cfRule>
  </conditionalFormatting>
  <conditionalFormatting sqref="K145">
    <cfRule type="expression" dxfId="72" priority="27">
      <formula>AND(VA_FEHLERMODUL=0,VA_FEHLER_AB=0,$G$145+$I$145&gt;100)</formula>
    </cfRule>
  </conditionalFormatting>
  <conditionalFormatting sqref="K42:S98 C141:J150 M141:T150 C132:J138 M132:T138 C153:J171 M153:T171">
    <cfRule type="expression" dxfId="71" priority="76">
      <formula>OR(VA_FEHLERMODUL&gt;0,VA_FEHLER_AB&gt;0)</formula>
    </cfRule>
  </conditionalFormatting>
  <conditionalFormatting sqref="L145">
    <cfRule type="expression" dxfId="70" priority="25">
      <formula>AND(VA_FEHLERMODUL=0,VA_FEHLER_AB=0,VA_BESTANDSEINGABE=2,VA_ZUSAMMEN=0,$Q$145+$S$145&gt;100)</formula>
    </cfRule>
  </conditionalFormatting>
  <conditionalFormatting sqref="M8 R15:T15 R20:T20 R24:T24 R27:T27 R32:T32">
    <cfRule type="expression" dxfId="69" priority="48">
      <formula>OR(VA_BESTANDSEINGABE=1,VA_ZUSAMMEN=1)</formula>
    </cfRule>
  </conditionalFormatting>
  <conditionalFormatting sqref="M157">
    <cfRule type="expression" dxfId="68" priority="9">
      <formula>OR(VA_BESTANDSEINGABE=1,VA_ZUSAMMEN=1)</formula>
    </cfRule>
  </conditionalFormatting>
  <conditionalFormatting sqref="M79:S83">
    <cfRule type="expression" dxfId="67" priority="29">
      <formula>VP_5_ERSTMALIGSICHER=0</formula>
    </cfRule>
  </conditionalFormatting>
  <conditionalFormatting sqref="M96:S96">
    <cfRule type="expression" dxfId="66" priority="47">
      <formula>OR(VA_FEHLERMODUL&gt;0,VA_FEHLER_AB&gt;0)</formula>
    </cfRule>
  </conditionalFormatting>
  <conditionalFormatting sqref="M10:T32">
    <cfRule type="expression" dxfId="65" priority="55">
      <formula>OR(VA_BESTANDSEINGABE=1,VA_ZUSAMMEN=1)</formula>
    </cfRule>
  </conditionalFormatting>
  <conditionalFormatting sqref="M141:T150 M153:T171">
    <cfRule type="expression" dxfId="64" priority="53">
      <formula>OR(VA_BESTANDSEINGABE=1,VA_ZUSAMMEN=1)</formula>
    </cfRule>
  </conditionalFormatting>
  <conditionalFormatting sqref="M142:T147 M150 R153:T153 Q154:T154 P155:T155 R156:T163 R164:R168">
    <cfRule type="expression" dxfId="63" priority="52">
      <formula>OR(VA_BESTANDSEINGABE=1,VA_ZUSAMMEN=1)</formula>
    </cfRule>
  </conditionalFormatting>
  <conditionalFormatting sqref="Q140">
    <cfRule type="expression" dxfId="62" priority="20">
      <formula>AND(VA_FEHLERMODUL=0,VA_FEHLER_AB=0,VA_BESTANDSEINGABE=2,VA_ZUSAMMEN=0,($Q$143+$S$143)&lt;$S$136)</formula>
    </cfRule>
  </conditionalFormatting>
  <conditionalFormatting sqref="Q42:S98 M141:T150 M132:T138 M153:T171">
    <cfRule type="expression" dxfId="61" priority="54">
      <formula>OR(VA_BESTANDSEINGABE=1,VA_ZUSAMMEN=1)</formula>
    </cfRule>
  </conditionalFormatting>
  <conditionalFormatting sqref="Q96:S96">
    <cfRule type="expression" dxfId="60" priority="41">
      <formula>OR(VA_BESTANDSEINGABE=1,VA_ZUSAMMEN=1)</formula>
    </cfRule>
  </conditionalFormatting>
  <conditionalFormatting sqref="Q145:T145">
    <cfRule type="expression" dxfId="59" priority="26">
      <formula>AND(VA_FEHLERMODUL=0,VA_FEHLER_AB=0,VA_BESTANDSEINGABE=2,VA_ZUSAMMEN=0,$Q$145+$S$145&gt;100)</formula>
    </cfRule>
  </conditionalFormatting>
  <conditionalFormatting sqref="R15:T15 R20:T20 R24:T24 R27:T27 R32:T32 C8 M8 H15:J15 H20:J20 H24:J24 H27:J27 H32:J32">
    <cfRule type="expression" dxfId="58" priority="69">
      <formula>OR(VA_FEHLERMODUL&gt;0,VA_FEHLER_AB&gt;0)</formula>
    </cfRule>
  </conditionalFormatting>
  <conditionalFormatting sqref="S37 C37 O38">
    <cfRule type="expression" dxfId="57" priority="35">
      <formula>OR(VA_FEHLERMODUL&gt;0,VA_FEHLER_AB&gt;0)</formula>
    </cfRule>
  </conditionalFormatting>
  <conditionalFormatting sqref="S37">
    <cfRule type="expression" dxfId="56" priority="34">
      <formula>OR(VA_BESTANDSEINGABE&lt;2,VA_ZUSAMMEN=1)</formula>
    </cfRule>
  </conditionalFormatting>
  <conditionalFormatting sqref="S136 Q141:T141 M143 Q143:T143">
    <cfRule type="expression" dxfId="55" priority="21">
      <formula>AND(VA_FEHLERMODUL=0,VA_FEHLER_AB=0,VA_BESTANDSEINGABE=2,VA_ZUSAMMEN=0,($Q$143+$S$143)&lt;$S$136)</formula>
    </cfRule>
  </conditionalFormatting>
  <conditionalFormatting sqref="Y1">
    <cfRule type="expression" dxfId="54" priority="3">
      <formula>V_ARBEIT=0</formula>
    </cfRule>
  </conditionalFormatting>
  <dataValidations count="4">
    <dataValidation type="whole" operator="greaterThanOrEqual" allowBlank="1" showErrorMessage="1" errorTitle="Eingabefehler" error="Nur ganze, positive Zahlen sowie 0 erlaubt." sqref="H159:H162 J159:J162 S159:S163 I146:J146 H164:H168 I159:I163 R159:R162 T159:T162 R164:R168 S146:T146" xr:uid="{ADBCE00B-8B72-4D87-9B0D-E525DE29631A}">
      <formula1>0</formula1>
    </dataValidation>
    <dataValidation type="list" allowBlank="1" showInputMessage="1" showErrorMessage="1" errorTitle="Eingabefehler" error="Bitte Eintrag aus der Auswahlliste wählen." sqref="C38:G38" xr:uid="{CAB5718B-4B8B-4DCF-9531-8452700DB4EF}">
      <formula1>R_ZUSAMMEN</formula1>
    </dataValidation>
    <dataValidation type="whole" allowBlank="1" showErrorMessage="1" errorTitle="Eingabefehler" error="Nur ganze Zahlen zwischen 0 und 100 erlaubt." sqref="G145:J145 Q145:T145" xr:uid="{B42F529C-87F1-46DB-9138-EB514B9593ED}">
      <formula1>0</formula1>
      <formula2>100</formula2>
    </dataValidation>
    <dataValidation type="decimal" allowBlank="1" showErrorMessage="1" errorTitle="Eingabefehler" error="Nur ganze Zahlen zwischen 0 und 100 erlaubt." sqref="S147:T147 I147:J147" xr:uid="{120DAD96-CCC4-4343-8919-C43F3629BBAE}">
      <formula1>0</formula1>
      <formula2>1</formula2>
    </dataValidation>
  </dataValidations>
  <printOptions horizontalCentered="1"/>
  <pageMargins left="0.70866141732283472" right="0.70866141732283472" top="0.78740157480314965" bottom="0.78740157480314965" header="0.39370078740157483" footer="0.27559055118110237"/>
  <pageSetup paperSize="9" scale="47" orientation="portrait" errors="blank" r:id="rId1"/>
  <headerFooter scaleWithDoc="0">
    <oddHeader>&amp;L&amp;13Ergebnisjustierung&amp;R&amp;G</oddHeader>
    <oddFooter>&amp;L&amp;G&amp;C&amp;6&amp;U&amp;K02+000Infostelle Fahrradparken&amp;18&amp;U&amp;K01+000
&amp;9https://radparken.info&amp;R&amp;KA5A5A5&amp;"Calibri"&amp;6Druck am: &amp;D
Tabellenreiter: &amp;A
Version: 3.6 (08.01.2025)</oddFooter>
  </headerFooter>
  <cellWatches>
    <cellWatch r="N76"/>
    <cellWatch r="N83"/>
    <cellWatch r="N87"/>
    <cellWatch r="N89"/>
    <cellWatch r="N91"/>
    <cellWatch r="N96"/>
    <cellWatch r="N98"/>
  </cellWatche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EF519-DF6E-484B-A9DC-7B775928977D}">
  <sheetPr codeName="Sheet5">
    <tabColor theme="6" tint="0.59999389629810485"/>
    <pageSetUpPr autoPageBreaks="0" fitToPage="1"/>
  </sheetPr>
  <dimension ref="A1:AA183"/>
  <sheetViews>
    <sheetView showGridLines="0" showRowColHeaders="0" zoomScaleNormal="100" workbookViewId="0">
      <pane ySplit="3" topLeftCell="A4" activePane="bottomLeft" state="frozen"/>
      <selection activeCell="A4" sqref="A4"/>
      <selection pane="bottomLeft" activeCell="A4" sqref="A4"/>
    </sheetView>
  </sheetViews>
  <sheetFormatPr baseColWidth="10" defaultColWidth="18.6640625" defaultRowHeight="18" customHeight="1"/>
  <cols>
    <col min="1" max="1" width="1.6640625" style="203" customWidth="1"/>
    <col min="2" max="2" width="3.6640625" style="203" customWidth="1"/>
    <col min="3" max="20" width="9.6640625" style="203" customWidth="1"/>
    <col min="21" max="21" width="3.6640625" style="203" customWidth="1"/>
    <col min="22" max="22" width="1.6640625" style="203" customWidth="1"/>
    <col min="23" max="23" width="0.83203125" style="203" customWidth="1"/>
    <col min="24" max="24" width="7.1640625" style="203" customWidth="1"/>
    <col min="25" max="16384" width="18.6640625" style="203"/>
  </cols>
  <sheetData>
    <row r="1" spans="1:27" ht="37.5" customHeight="1">
      <c r="A1" s="1036" t="s">
        <v>178</v>
      </c>
      <c r="B1" s="1036"/>
      <c r="C1" s="506" t="str">
        <f>IF(VA_KOSTENANALYSE&lt;&gt;2,TBS_FH,TBS_FH_D)</f>
        <v/>
      </c>
      <c r="D1" s="504"/>
      <c r="E1" s="504"/>
      <c r="F1" s="504"/>
      <c r="G1" s="504"/>
      <c r="H1" s="504"/>
      <c r="I1" s="504"/>
      <c r="J1" s="504"/>
      <c r="K1" s="504"/>
      <c r="L1" s="504"/>
      <c r="M1" s="504"/>
      <c r="N1" s="504"/>
      <c r="O1" s="504"/>
      <c r="P1" s="504"/>
      <c r="Q1" s="504"/>
      <c r="R1" s="1037" t="str">
        <f>"Ermittelter Baubedarf:"&amp;CHAR(10)&amp;VA_BBGESAMT</f>
        <v>Ermittelter Baubedarf:
es fehlen noch Daten</v>
      </c>
      <c r="S1" s="1038"/>
      <c r="T1" s="1038"/>
      <c r="U1" s="507"/>
      <c r="Y1" s="1034" t="s">
        <v>779</v>
      </c>
      <c r="Z1" s="1034"/>
      <c r="AA1" s="1034"/>
    </row>
    <row r="2" spans="1:27" ht="4" customHeight="1">
      <c r="A2" s="204"/>
      <c r="B2" s="205"/>
      <c r="C2" s="205"/>
      <c r="D2" s="204"/>
      <c r="E2" s="204"/>
      <c r="F2" s="204"/>
      <c r="G2" s="204"/>
      <c r="H2" s="204"/>
      <c r="I2" s="204"/>
      <c r="J2" s="204"/>
      <c r="K2" s="204"/>
      <c r="L2" s="204"/>
      <c r="M2" s="204"/>
      <c r="N2" s="204"/>
      <c r="O2" s="204"/>
      <c r="P2" s="204"/>
      <c r="Q2" s="204"/>
      <c r="R2" s="204"/>
      <c r="S2" s="204"/>
      <c r="T2" s="204"/>
      <c r="U2" s="204"/>
      <c r="V2" s="204"/>
      <c r="W2" s="204"/>
    </row>
    <row r="3" spans="1:27" ht="4" customHeight="1">
      <c r="B3" s="206"/>
      <c r="C3" s="206"/>
      <c r="W3" s="204"/>
    </row>
    <row r="4" spans="1:27" ht="14" customHeight="1" thickBot="1">
      <c r="B4" s="240"/>
      <c r="C4" s="240"/>
      <c r="D4" s="240"/>
      <c r="E4" s="240"/>
      <c r="F4" s="240"/>
      <c r="G4" s="240"/>
      <c r="H4" s="240"/>
      <c r="I4" s="240"/>
      <c r="J4" s="240"/>
      <c r="K4" s="240"/>
      <c r="L4" s="240"/>
      <c r="M4" s="240"/>
      <c r="N4" s="240"/>
      <c r="O4" s="240"/>
      <c r="P4" s="240"/>
      <c r="Q4" s="240"/>
      <c r="R4" s="240"/>
      <c r="S4" s="240"/>
      <c r="T4" s="240"/>
      <c r="U4" s="240"/>
      <c r="W4" s="204"/>
    </row>
    <row r="5" spans="1:27" ht="14" customHeight="1">
      <c r="A5" s="227"/>
      <c r="B5" s="207"/>
      <c r="C5" s="711"/>
      <c r="D5" s="208"/>
      <c r="E5" s="208"/>
      <c r="F5" s="208"/>
      <c r="G5" s="208"/>
      <c r="H5" s="208"/>
      <c r="I5" s="208"/>
      <c r="J5" s="208"/>
      <c r="K5" s="208"/>
      <c r="L5" s="208"/>
      <c r="M5" s="208"/>
      <c r="N5" s="208"/>
      <c r="O5" s="208"/>
      <c r="P5" s="208"/>
      <c r="Q5" s="208"/>
      <c r="R5" s="208"/>
      <c r="S5" s="208"/>
      <c r="T5" s="208"/>
      <c r="U5" s="209"/>
      <c r="W5" s="204"/>
    </row>
    <row r="6" spans="1:27" ht="18" customHeight="1">
      <c r="A6" s="227"/>
      <c r="B6" s="210"/>
      <c r="C6" s="411" t="s">
        <v>320</v>
      </c>
      <c r="D6" s="212"/>
      <c r="E6" s="212"/>
      <c r="F6" s="212"/>
      <c r="G6" s="212"/>
      <c r="H6" s="212"/>
      <c r="I6" s="212"/>
      <c r="J6" s="212"/>
      <c r="K6" s="212"/>
      <c r="L6" s="212"/>
      <c r="M6" s="212"/>
      <c r="N6" s="212"/>
      <c r="O6" s="212"/>
      <c r="P6" s="212"/>
      <c r="Q6" s="212"/>
      <c r="R6" s="212"/>
      <c r="S6" s="212"/>
      <c r="T6" s="212"/>
      <c r="U6" s="213"/>
      <c r="W6" s="204"/>
    </row>
    <row r="7" spans="1:27" ht="18" customHeight="1">
      <c r="A7" s="227"/>
      <c r="B7" s="210"/>
      <c r="C7" s="411" t="s">
        <v>314</v>
      </c>
      <c r="D7" s="212"/>
      <c r="E7" s="212"/>
      <c r="F7" s="212"/>
      <c r="G7" s="212"/>
      <c r="H7" s="212"/>
      <c r="I7" s="212"/>
      <c r="J7" s="212"/>
      <c r="K7" s="212"/>
      <c r="L7" s="212"/>
      <c r="M7" s="212"/>
      <c r="N7" s="212"/>
      <c r="O7" s="212"/>
      <c r="P7" s="212"/>
      <c r="Q7" s="212"/>
      <c r="R7" s="212"/>
      <c r="S7" s="212"/>
      <c r="T7" s="212"/>
      <c r="U7" s="213"/>
      <c r="W7" s="204"/>
    </row>
    <row r="8" spans="1:27" ht="14" customHeight="1">
      <c r="A8" s="227"/>
      <c r="B8" s="916"/>
      <c r="C8" s="919"/>
      <c r="D8" s="917"/>
      <c r="E8" s="917"/>
      <c r="F8" s="917"/>
      <c r="G8" s="917"/>
      <c r="H8" s="917"/>
      <c r="I8" s="917"/>
      <c r="J8" s="917"/>
      <c r="K8" s="917"/>
      <c r="L8" s="917"/>
      <c r="M8" s="917"/>
      <c r="N8" s="917"/>
      <c r="O8" s="917"/>
      <c r="P8" s="917"/>
      <c r="Q8" s="917"/>
      <c r="R8" s="917"/>
      <c r="S8" s="917"/>
      <c r="T8" s="917"/>
      <c r="U8" s="918"/>
      <c r="W8" s="204"/>
    </row>
    <row r="9" spans="1:27" ht="14" customHeight="1">
      <c r="A9" s="227"/>
      <c r="B9" s="210"/>
      <c r="C9" s="411"/>
      <c r="D9" s="212"/>
      <c r="E9" s="212"/>
      <c r="F9" s="212"/>
      <c r="G9" s="212"/>
      <c r="H9" s="212"/>
      <c r="I9" s="212"/>
      <c r="J9" s="212"/>
      <c r="K9" s="212"/>
      <c r="L9" s="212"/>
      <c r="M9" s="212"/>
      <c r="N9" s="212"/>
      <c r="O9" s="212"/>
      <c r="P9" s="212"/>
      <c r="Q9" s="212"/>
      <c r="R9" s="212"/>
      <c r="S9" s="212"/>
      <c r="T9" s="212"/>
      <c r="U9" s="213"/>
      <c r="W9" s="204"/>
    </row>
    <row r="10" spans="1:27" ht="18" customHeight="1">
      <c r="A10" s="227"/>
      <c r="B10" s="210"/>
      <c r="C10" s="411" t="s">
        <v>811</v>
      </c>
      <c r="D10" s="212"/>
      <c r="E10" s="212"/>
      <c r="F10" s="212"/>
      <c r="G10" s="212"/>
      <c r="H10" s="212"/>
      <c r="I10" s="212"/>
      <c r="J10" s="212"/>
      <c r="K10" s="212"/>
      <c r="L10" s="212"/>
      <c r="M10" s="212"/>
      <c r="N10" s="212"/>
      <c r="O10" s="212"/>
      <c r="P10" s="212"/>
      <c r="Q10" s="212"/>
      <c r="R10" s="212"/>
      <c r="S10" s="212"/>
      <c r="T10" s="212"/>
      <c r="U10" s="213"/>
      <c r="W10" s="204"/>
    </row>
    <row r="11" spans="1:27" ht="18" customHeight="1">
      <c r="A11" s="227"/>
      <c r="B11" s="210"/>
      <c r="C11" s="411" t="s">
        <v>812</v>
      </c>
      <c r="D11" s="212"/>
      <c r="E11" s="212"/>
      <c r="F11" s="212"/>
      <c r="G11" s="212"/>
      <c r="H11" s="212"/>
      <c r="I11" s="212"/>
      <c r="J11" s="212"/>
      <c r="K11" s="212"/>
      <c r="L11" s="212"/>
      <c r="M11" s="212"/>
      <c r="N11" s="212"/>
      <c r="O11" s="212"/>
      <c r="P11" s="212"/>
      <c r="Q11" s="212"/>
      <c r="R11" s="212"/>
      <c r="S11" s="212"/>
      <c r="T11" s="212"/>
      <c r="U11" s="213"/>
      <c r="W11" s="204"/>
    </row>
    <row r="12" spans="1:27" ht="18" customHeight="1">
      <c r="A12" s="227"/>
      <c r="B12" s="210"/>
      <c r="C12" s="411" t="s">
        <v>813</v>
      </c>
      <c r="D12" s="212"/>
      <c r="E12" s="212"/>
      <c r="F12" s="212"/>
      <c r="G12" s="212"/>
      <c r="H12" s="212"/>
      <c r="I12" s="212"/>
      <c r="J12" s="212"/>
      <c r="K12" s="212"/>
      <c r="L12" s="212"/>
      <c r="M12" s="212"/>
      <c r="N12" s="212"/>
      <c r="O12" s="212"/>
      <c r="P12" s="212"/>
      <c r="Q12" s="212"/>
      <c r="R12" s="212"/>
      <c r="S12" s="212"/>
      <c r="T12" s="212"/>
      <c r="U12" s="213"/>
      <c r="W12" s="204"/>
    </row>
    <row r="13" spans="1:27" ht="6" customHeight="1">
      <c r="A13" s="227"/>
      <c r="B13" s="210"/>
      <c r="C13" s="411"/>
      <c r="D13" s="212"/>
      <c r="E13" s="212"/>
      <c r="F13" s="212"/>
      <c r="G13" s="212"/>
      <c r="H13" s="212"/>
      <c r="I13" s="212"/>
      <c r="J13" s="212"/>
      <c r="K13" s="212"/>
      <c r="L13" s="212"/>
      <c r="M13" s="212"/>
      <c r="N13" s="212"/>
      <c r="O13" s="212"/>
      <c r="P13" s="212"/>
      <c r="Q13" s="212"/>
      <c r="R13" s="212"/>
      <c r="S13" s="212"/>
      <c r="T13" s="212"/>
      <c r="U13" s="213"/>
      <c r="W13" s="204"/>
    </row>
    <row r="14" spans="1:27" ht="18" customHeight="1">
      <c r="A14" s="227"/>
      <c r="B14" s="210"/>
      <c r="C14" s="411" t="s">
        <v>814</v>
      </c>
      <c r="D14" s="212"/>
      <c r="E14" s="212"/>
      <c r="F14" s="212"/>
      <c r="G14" s="212"/>
      <c r="H14" s="212"/>
      <c r="I14" s="212"/>
      <c r="J14" s="212"/>
      <c r="K14" s="212"/>
      <c r="L14" s="212"/>
      <c r="M14" s="212"/>
      <c r="N14" s="212"/>
      <c r="O14" s="212"/>
      <c r="P14" s="212"/>
      <c r="Q14" s="212"/>
      <c r="R14" s="212"/>
      <c r="S14" s="212"/>
      <c r="T14" s="212"/>
      <c r="U14" s="213"/>
      <c r="W14" s="204"/>
    </row>
    <row r="15" spans="1:27" ht="14" customHeight="1">
      <c r="A15" s="227"/>
      <c r="B15" s="210"/>
      <c r="C15" s="411"/>
      <c r="D15" s="212"/>
      <c r="E15" s="212"/>
      <c r="F15" s="212"/>
      <c r="G15" s="212"/>
      <c r="H15" s="219"/>
      <c r="I15" s="219"/>
      <c r="J15" s="219"/>
      <c r="K15" s="219"/>
      <c r="L15" s="219"/>
      <c r="M15" s="219"/>
      <c r="N15" s="219"/>
      <c r="O15" s="219"/>
      <c r="P15" s="212"/>
      <c r="Q15" s="212"/>
      <c r="R15" s="212"/>
      <c r="S15" s="212"/>
      <c r="T15" s="212"/>
      <c r="U15" s="213"/>
      <c r="W15" s="204"/>
    </row>
    <row r="16" spans="1:27" ht="4" customHeight="1" thickBot="1">
      <c r="A16" s="227"/>
      <c r="B16" s="210"/>
      <c r="C16" s="411"/>
      <c r="D16" s="212"/>
      <c r="E16" s="212"/>
      <c r="F16" s="212"/>
      <c r="G16" s="221"/>
      <c r="H16" s="212"/>
      <c r="I16" s="212"/>
      <c r="J16" s="212"/>
      <c r="K16" s="212"/>
      <c r="L16" s="212"/>
      <c r="M16" s="212"/>
      <c r="N16" s="212"/>
      <c r="O16" s="221"/>
      <c r="P16" s="212"/>
      <c r="Q16" s="212"/>
      <c r="R16" s="212"/>
      <c r="S16" s="212"/>
      <c r="T16" s="212"/>
      <c r="U16" s="213"/>
      <c r="W16" s="204"/>
    </row>
    <row r="17" spans="1:24" ht="18" customHeight="1" thickBot="1">
      <c r="A17" s="227"/>
      <c r="B17" s="210"/>
      <c r="C17" s="411"/>
      <c r="D17" s="212"/>
      <c r="E17" s="212"/>
      <c r="F17" s="212"/>
      <c r="G17" s="221"/>
      <c r="H17" s="1340" t="s">
        <v>815</v>
      </c>
      <c r="I17" s="1340"/>
      <c r="J17" s="1341"/>
      <c r="K17" s="911">
        <v>1500</v>
      </c>
      <c r="L17" s="1344"/>
      <c r="M17" s="1345"/>
      <c r="N17" s="1342" t="s">
        <v>333</v>
      </c>
      <c r="O17" s="1343"/>
      <c r="P17" s="212"/>
      <c r="Q17" s="212"/>
      <c r="R17" s="212"/>
      <c r="S17" s="212"/>
      <c r="T17" s="212"/>
      <c r="U17" s="213"/>
      <c r="W17" s="204"/>
    </row>
    <row r="18" spans="1:24" ht="4" customHeight="1">
      <c r="A18" s="227"/>
      <c r="B18" s="210"/>
      <c r="C18" s="411"/>
      <c r="D18" s="212"/>
      <c r="E18" s="212"/>
      <c r="F18" s="212"/>
      <c r="G18" s="221"/>
      <c r="H18" s="219"/>
      <c r="I18" s="219"/>
      <c r="J18" s="219"/>
      <c r="K18" s="219"/>
      <c r="L18" s="219"/>
      <c r="M18" s="219"/>
      <c r="N18" s="219"/>
      <c r="O18" s="912"/>
      <c r="P18" s="212"/>
      <c r="Q18" s="212"/>
      <c r="R18" s="212"/>
      <c r="S18" s="212"/>
      <c r="T18" s="212"/>
      <c r="U18" s="213"/>
      <c r="W18" s="204"/>
    </row>
    <row r="19" spans="1:24" ht="18" customHeight="1">
      <c r="A19" s="227"/>
      <c r="B19" s="210"/>
      <c r="C19" s="411"/>
      <c r="D19" s="914"/>
      <c r="E19" s="914"/>
      <c r="F19" s="914"/>
      <c r="G19" s="914"/>
      <c r="H19" s="914"/>
      <c r="I19" s="914"/>
      <c r="J19" s="202"/>
      <c r="K19" s="915" t="s">
        <v>816</v>
      </c>
      <c r="L19" s="1346" t="s">
        <v>817</v>
      </c>
      <c r="M19" s="1346"/>
      <c r="N19" s="1346"/>
      <c r="O19" s="1346"/>
      <c r="P19" s="1346"/>
      <c r="Q19" s="1346"/>
      <c r="R19" s="1346"/>
      <c r="S19" s="1346"/>
      <c r="T19" s="1346"/>
      <c r="U19" s="213"/>
      <c r="W19" s="204"/>
    </row>
    <row r="20" spans="1:24" ht="14" customHeight="1">
      <c r="A20" s="227"/>
      <c r="B20" s="210"/>
      <c r="C20" s="411"/>
      <c r="D20" s="914"/>
      <c r="E20" s="914"/>
      <c r="F20" s="914"/>
      <c r="G20" s="914"/>
      <c r="H20" s="914"/>
      <c r="I20" s="914"/>
      <c r="J20" s="202"/>
      <c r="K20" s="915"/>
      <c r="L20" s="920"/>
      <c r="M20" s="920"/>
      <c r="N20" s="920"/>
      <c r="O20" s="920"/>
      <c r="P20" s="920"/>
      <c r="Q20" s="920"/>
      <c r="R20" s="920"/>
      <c r="S20" s="920"/>
      <c r="T20" s="920"/>
      <c r="U20" s="213"/>
      <c r="W20" s="204"/>
      <c r="X20" s="504"/>
    </row>
    <row r="21" spans="1:24" ht="24" customHeight="1">
      <c r="A21" s="227"/>
      <c r="B21" s="923"/>
      <c r="C21" s="682" t="s">
        <v>818</v>
      </c>
      <c r="D21" s="924"/>
      <c r="E21" s="924"/>
      <c r="F21" s="924"/>
      <c r="G21" s="924"/>
      <c r="H21" s="924"/>
      <c r="I21" s="924"/>
      <c r="J21" s="391"/>
      <c r="K21" s="925"/>
      <c r="L21" s="926"/>
      <c r="M21" s="926"/>
      <c r="N21" s="926"/>
      <c r="O21" s="926"/>
      <c r="P21" s="926"/>
      <c r="Q21" s="926"/>
      <c r="R21" s="926"/>
      <c r="S21" s="926"/>
      <c r="T21" s="926"/>
      <c r="U21" s="927"/>
      <c r="W21" s="204"/>
      <c r="X21" s="504"/>
    </row>
    <row r="22" spans="1:24" ht="14" customHeight="1">
      <c r="A22" s="227"/>
      <c r="B22" s="210"/>
      <c r="C22" s="411"/>
      <c r="D22" s="212"/>
      <c r="E22" s="212"/>
      <c r="F22" s="212"/>
      <c r="G22" s="212"/>
      <c r="H22" s="212"/>
      <c r="I22" s="212"/>
      <c r="J22" s="212"/>
      <c r="K22" s="212"/>
      <c r="L22" s="212"/>
      <c r="M22" s="212"/>
      <c r="N22" s="212"/>
      <c r="O22" s="212"/>
      <c r="P22" s="212"/>
      <c r="Q22" s="212"/>
      <c r="R22" s="212"/>
      <c r="S22" s="212"/>
      <c r="T22" s="212"/>
      <c r="U22" s="213"/>
      <c r="W22" s="204"/>
      <c r="X22" s="504"/>
    </row>
    <row r="23" spans="1:24" ht="18" customHeight="1">
      <c r="A23" s="227"/>
      <c r="B23" s="210"/>
      <c r="C23" s="913" t="s">
        <v>819</v>
      </c>
      <c r="D23" s="212"/>
      <c r="E23" s="212"/>
      <c r="F23" s="212"/>
      <c r="G23" s="212"/>
      <c r="H23" s="212"/>
      <c r="I23" s="212"/>
      <c r="J23" s="212"/>
      <c r="K23" s="212"/>
      <c r="L23" s="212"/>
      <c r="M23" s="652" t="s">
        <v>820</v>
      </c>
      <c r="N23" s="212"/>
      <c r="O23" s="212"/>
      <c r="P23" s="202"/>
      <c r="Q23" s="212"/>
      <c r="R23" s="212"/>
      <c r="S23" s="212"/>
      <c r="T23" s="212"/>
      <c r="U23" s="213"/>
      <c r="W23" s="204"/>
      <c r="X23" s="504"/>
    </row>
    <row r="24" spans="1:24" ht="10" customHeight="1">
      <c r="A24" s="227"/>
      <c r="B24" s="210"/>
      <c r="C24" s="411"/>
      <c r="D24" s="212"/>
      <c r="E24" s="212"/>
      <c r="F24" s="212"/>
      <c r="G24" s="212"/>
      <c r="H24" s="212"/>
      <c r="I24" s="212"/>
      <c r="J24" s="212"/>
      <c r="K24" s="212"/>
      <c r="L24" s="212"/>
      <c r="M24" s="212"/>
      <c r="N24" s="212"/>
      <c r="O24" s="212"/>
      <c r="P24" s="202"/>
      <c r="Q24" s="212"/>
      <c r="R24" s="212"/>
      <c r="S24" s="212"/>
      <c r="T24" s="212"/>
      <c r="U24" s="213"/>
      <c r="W24" s="204"/>
      <c r="X24" s="504"/>
    </row>
    <row r="25" spans="1:24" ht="18" customHeight="1">
      <c r="A25" s="227"/>
      <c r="B25" s="210"/>
      <c r="C25" s="1347" t="s">
        <v>5</v>
      </c>
      <c r="D25" s="1347"/>
      <c r="E25" s="1315" t="s">
        <v>821</v>
      </c>
      <c r="F25" s="1315"/>
      <c r="G25" s="1315"/>
      <c r="H25" s="1315"/>
      <c r="I25" s="1315"/>
      <c r="J25" s="1315"/>
      <c r="K25" s="1315"/>
      <c r="L25" s="212"/>
      <c r="M25" s="1354" t="s">
        <v>822</v>
      </c>
      <c r="N25" s="1354"/>
      <c r="O25" s="1316" t="s">
        <v>823</v>
      </c>
      <c r="P25" s="1316"/>
      <c r="Q25" s="1316"/>
      <c r="R25" s="1316"/>
      <c r="S25" s="1316"/>
      <c r="T25" s="1316"/>
      <c r="U25" s="213"/>
      <c r="W25" s="204"/>
      <c r="X25" s="504"/>
    </row>
    <row r="26" spans="1:24" ht="18" customHeight="1">
      <c r="A26" s="227"/>
      <c r="B26" s="210"/>
      <c r="C26" s="1347" t="s">
        <v>824</v>
      </c>
      <c r="D26" s="1347"/>
      <c r="E26" s="1315" t="s">
        <v>897</v>
      </c>
      <c r="F26" s="1315"/>
      <c r="G26" s="1315"/>
      <c r="H26" s="1315"/>
      <c r="I26" s="1315"/>
      <c r="J26" s="1315"/>
      <c r="K26" s="1315"/>
      <c r="L26" s="212"/>
      <c r="M26" s="1355"/>
      <c r="N26" s="1355"/>
      <c r="O26" s="1355" t="s">
        <v>825</v>
      </c>
      <c r="P26" s="1355"/>
      <c r="Q26" s="1355"/>
      <c r="R26" s="1355"/>
      <c r="S26" s="1355"/>
      <c r="T26" s="1355"/>
      <c r="U26" s="213"/>
      <c r="W26" s="204"/>
      <c r="X26" s="504"/>
    </row>
    <row r="27" spans="1:24" ht="18" customHeight="1">
      <c r="A27" s="227"/>
      <c r="B27" s="210"/>
      <c r="C27" s="1347" t="s">
        <v>6</v>
      </c>
      <c r="D27" s="1347"/>
      <c r="E27" s="1315" t="s">
        <v>826</v>
      </c>
      <c r="F27" s="1315"/>
      <c r="G27" s="1315"/>
      <c r="H27" s="1315"/>
      <c r="I27" s="1315"/>
      <c r="J27" s="1315"/>
      <c r="K27" s="1315"/>
      <c r="L27" s="212"/>
      <c r="M27" s="1356"/>
      <c r="N27" s="1356"/>
      <c r="O27" s="1356" t="s">
        <v>827</v>
      </c>
      <c r="P27" s="1356"/>
      <c r="Q27" s="1356"/>
      <c r="R27" s="1356"/>
      <c r="S27" s="1356"/>
      <c r="T27" s="1356"/>
      <c r="U27" s="213"/>
      <c r="W27" s="204"/>
      <c r="X27" s="504"/>
    </row>
    <row r="28" spans="1:24" ht="18" customHeight="1">
      <c r="A28" s="227"/>
      <c r="B28" s="210"/>
      <c r="C28" s="1347" t="s">
        <v>705</v>
      </c>
      <c r="D28" s="1347"/>
      <c r="E28" s="1315" t="s">
        <v>828</v>
      </c>
      <c r="F28" s="1315"/>
      <c r="G28" s="1315"/>
      <c r="H28" s="1315"/>
      <c r="I28" s="1315"/>
      <c r="J28" s="1315"/>
      <c r="K28" s="1315"/>
      <c r="L28" s="212"/>
      <c r="M28" s="1354" t="s">
        <v>829</v>
      </c>
      <c r="N28" s="1354"/>
      <c r="O28" s="1316" t="s">
        <v>830</v>
      </c>
      <c r="P28" s="1316"/>
      <c r="Q28" s="1316"/>
      <c r="R28" s="1316"/>
      <c r="S28" s="1316"/>
      <c r="T28" s="1316"/>
      <c r="U28" s="213"/>
      <c r="W28" s="204"/>
      <c r="X28" s="504"/>
    </row>
    <row r="29" spans="1:24" ht="18" customHeight="1">
      <c r="A29" s="227"/>
      <c r="B29" s="210"/>
      <c r="C29" s="1347" t="s">
        <v>831</v>
      </c>
      <c r="D29" s="1347"/>
      <c r="E29" s="1315" t="s">
        <v>832</v>
      </c>
      <c r="F29" s="1315"/>
      <c r="G29" s="1315"/>
      <c r="H29" s="1315"/>
      <c r="I29" s="1315"/>
      <c r="J29" s="1315"/>
      <c r="K29" s="1315"/>
      <c r="L29" s="212"/>
      <c r="M29" s="1521" t="s">
        <v>833</v>
      </c>
      <c r="N29" s="1521"/>
      <c r="O29" s="1356" t="s">
        <v>900</v>
      </c>
      <c r="P29" s="1356"/>
      <c r="Q29" s="1356"/>
      <c r="R29" s="1356"/>
      <c r="S29" s="1356"/>
      <c r="T29" s="1356"/>
      <c r="U29" s="213"/>
      <c r="W29" s="204"/>
      <c r="X29" s="504"/>
    </row>
    <row r="30" spans="1:24" ht="18" customHeight="1">
      <c r="A30" s="227"/>
      <c r="B30" s="210"/>
      <c r="C30" s="1354" t="s">
        <v>15</v>
      </c>
      <c r="D30" s="1354"/>
      <c r="E30" s="1316" t="s">
        <v>898</v>
      </c>
      <c r="F30" s="1316"/>
      <c r="G30" s="1316"/>
      <c r="H30" s="1316"/>
      <c r="I30" s="1316"/>
      <c r="J30" s="1316"/>
      <c r="K30" s="1316"/>
      <c r="L30" s="212"/>
      <c r="M30" s="1355"/>
      <c r="N30" s="1355"/>
      <c r="O30" s="1316" t="s">
        <v>835</v>
      </c>
      <c r="P30" s="1316"/>
      <c r="Q30" s="1316"/>
      <c r="R30" s="1316"/>
      <c r="S30" s="1316"/>
      <c r="T30" s="1316"/>
      <c r="U30" s="213"/>
      <c r="W30" s="204"/>
      <c r="X30" s="504"/>
    </row>
    <row r="31" spans="1:24" ht="18" customHeight="1">
      <c r="A31" s="227"/>
      <c r="B31" s="210"/>
      <c r="C31" s="921"/>
      <c r="D31" s="922"/>
      <c r="E31" s="1356" t="s">
        <v>899</v>
      </c>
      <c r="F31" s="1356"/>
      <c r="G31" s="1356"/>
      <c r="H31" s="1356"/>
      <c r="I31" s="1356"/>
      <c r="J31" s="1356"/>
      <c r="K31" s="1356"/>
      <c r="L31" s="212"/>
      <c r="M31" s="1356"/>
      <c r="N31" s="1356"/>
      <c r="O31" s="1356" t="s">
        <v>836</v>
      </c>
      <c r="P31" s="1356"/>
      <c r="Q31" s="1356"/>
      <c r="R31" s="1356"/>
      <c r="S31" s="1356"/>
      <c r="T31" s="1356"/>
      <c r="U31" s="213"/>
      <c r="W31" s="204"/>
      <c r="X31" s="504"/>
    </row>
    <row r="32" spans="1:24" ht="14" customHeight="1">
      <c r="A32" s="227"/>
      <c r="B32" s="218"/>
      <c r="C32" s="910"/>
      <c r="D32" s="219"/>
      <c r="E32" s="219"/>
      <c r="F32" s="219"/>
      <c r="G32" s="219"/>
      <c r="H32" s="219"/>
      <c r="I32" s="219"/>
      <c r="J32" s="219"/>
      <c r="K32" s="219"/>
      <c r="L32" s="219"/>
      <c r="M32" s="219"/>
      <c r="N32" s="219"/>
      <c r="O32" s="219"/>
      <c r="P32" s="219"/>
      <c r="Q32" s="219"/>
      <c r="R32" s="219"/>
      <c r="S32" s="219"/>
      <c r="T32" s="219"/>
      <c r="U32" s="220"/>
      <c r="W32" s="204"/>
      <c r="X32" s="504"/>
    </row>
    <row r="33" spans="1:24" ht="18" customHeight="1">
      <c r="A33" s="227"/>
      <c r="B33" s="653"/>
      <c r="C33" s="412"/>
      <c r="D33" s="226"/>
      <c r="E33" s="226"/>
      <c r="F33" s="226"/>
      <c r="G33" s="226"/>
      <c r="H33" s="226"/>
      <c r="I33" s="226"/>
      <c r="J33" s="226"/>
      <c r="K33" s="226"/>
      <c r="L33" s="226"/>
      <c r="M33" s="226"/>
      <c r="N33" s="226"/>
      <c r="O33" s="226"/>
      <c r="P33" s="226"/>
      <c r="Q33" s="226"/>
      <c r="R33" s="226"/>
      <c r="S33" s="226"/>
      <c r="T33" s="226"/>
      <c r="U33" s="413"/>
      <c r="W33" s="204"/>
      <c r="X33" s="504"/>
    </row>
    <row r="34" spans="1:24" ht="18" customHeight="1">
      <c r="A34" s="227"/>
      <c r="B34" s="653"/>
      <c r="C34" s="414" t="s">
        <v>291</v>
      </c>
      <c r="D34" s="226"/>
      <c r="E34" s="226"/>
      <c r="F34" s="226"/>
      <c r="G34" s="226"/>
      <c r="H34" s="226"/>
      <c r="I34" s="226"/>
      <c r="J34" s="226"/>
      <c r="K34" s="226"/>
      <c r="L34" s="226"/>
      <c r="M34" s="261" t="s">
        <v>33</v>
      </c>
      <c r="N34" s="1503" t="s">
        <v>317</v>
      </c>
      <c r="O34" s="1504"/>
      <c r="P34" s="1504"/>
      <c r="Q34" s="1504"/>
      <c r="R34" s="1504"/>
      <c r="S34" s="1504"/>
      <c r="T34" s="1505"/>
      <c r="U34" s="413"/>
      <c r="W34" s="204"/>
      <c r="X34" s="504"/>
    </row>
    <row r="35" spans="1:24" ht="14" customHeight="1">
      <c r="A35" s="227"/>
      <c r="B35" s="653"/>
      <c r="D35" s="226"/>
      <c r="E35" s="226"/>
      <c r="F35" s="226"/>
      <c r="G35" s="226"/>
      <c r="H35" s="226"/>
      <c r="I35" s="226"/>
      <c r="J35" s="226"/>
      <c r="K35" s="226"/>
      <c r="L35" s="226"/>
      <c r="M35" s="226"/>
      <c r="N35" s="226"/>
      <c r="O35" s="226"/>
      <c r="P35" s="226"/>
      <c r="Q35" s="226"/>
      <c r="R35" s="226"/>
      <c r="S35" s="226"/>
      <c r="T35" s="226"/>
      <c r="U35" s="413"/>
      <c r="W35" s="204"/>
      <c r="X35" s="504"/>
    </row>
    <row r="36" spans="1:24" ht="18" customHeight="1">
      <c r="A36" s="227"/>
      <c r="B36" s="712">
        <f>IF(
OR(N34="Bitte klicken und auswählen…",N34=""),1,IF(
N34="Eigene Bestandsdaten eingeben",2,IF(
AND(VA_FEHLERMODUL=0,VA_FEHLER_AB=0,VA_FEHLER_CD=0),3,IF(
AND(VA_FEHLERMODUL=0,VA_FEHLER_AB=0,VA_FEHLER_CD=1),4,
5))))</f>
        <v>5</v>
      </c>
      <c r="C36" s="1506" t="str">
        <f>CHOOSE(B36,
"Bitte wählen Sie oben aus, welche Daten Sie verwenden möchten.",
"Bitte geben Sie unten Ihren Bestandsdaten sowie weitere Parameter für die Kostenanalyse ein.",
"Ihre Daten aus Teil C wurden unten übernommen. Bitte geben Sie noch die weiteren Parameter für die Kostenanalyse ein.",
"Bitte prüfen Sie in Teil C unten die Zuordnung/Verteilung der Stellplätze. Für die Kostenanalyse sind noch nicht alle Stellplätze korrekt zugeordnet/verteilt.",
"Bitte prüfen Sie Ihre Eingaben/Auswahlen in den Teilen A bis C. Für die Kostenanalyse sind noch nicht alle Daten/Parameter korrekt eingegeben.")</f>
        <v>Bitte prüfen Sie Ihre Eingaben/Auswahlen in den Teilen A bis C. Für die Kostenanalyse sind noch nicht alle Daten/Parameter korrekt eingegeben.</v>
      </c>
      <c r="D36" s="1506"/>
      <c r="E36" s="1506"/>
      <c r="F36" s="1506"/>
      <c r="G36" s="1506"/>
      <c r="H36" s="1506"/>
      <c r="I36" s="1506"/>
      <c r="J36" s="1506"/>
      <c r="K36" s="1506"/>
      <c r="L36" s="1506"/>
      <c r="M36" s="1506"/>
      <c r="N36" s="1506"/>
      <c r="O36" s="1506"/>
      <c r="P36" s="1506"/>
      <c r="Q36" s="1506"/>
      <c r="R36" s="1506"/>
      <c r="S36" s="1506"/>
      <c r="T36" s="1506"/>
      <c r="U36" s="413"/>
      <c r="W36" s="204"/>
      <c r="X36" s="504"/>
    </row>
    <row r="37" spans="1:24" ht="14" customHeight="1" thickBot="1">
      <c r="A37" s="227"/>
      <c r="B37" s="255"/>
      <c r="C37" s="240"/>
      <c r="D37" s="240"/>
      <c r="E37" s="240"/>
      <c r="F37" s="240"/>
      <c r="G37" s="240"/>
      <c r="H37" s="240"/>
      <c r="I37" s="240"/>
      <c r="J37" s="240"/>
      <c r="K37" s="240"/>
      <c r="L37" s="240"/>
      <c r="M37" s="240"/>
      <c r="N37" s="240"/>
      <c r="O37" s="240"/>
      <c r="P37" s="240"/>
      <c r="Q37" s="240"/>
      <c r="R37" s="240"/>
      <c r="S37" s="240"/>
      <c r="T37" s="240"/>
      <c r="U37" s="241"/>
      <c r="W37" s="204"/>
      <c r="X37" s="504"/>
    </row>
    <row r="38" spans="1:24" ht="18" customHeight="1" thickBot="1">
      <c r="B38" s="358"/>
      <c r="C38" s="358"/>
      <c r="D38" s="358"/>
      <c r="E38" s="358"/>
      <c r="F38" s="358"/>
      <c r="G38" s="358"/>
      <c r="H38" s="358"/>
      <c r="I38" s="358"/>
      <c r="J38" s="358"/>
      <c r="K38" s="358"/>
      <c r="L38" s="358"/>
      <c r="M38" s="358"/>
      <c r="N38" s="358"/>
      <c r="O38" s="358"/>
      <c r="P38" s="358"/>
      <c r="Q38" s="358"/>
      <c r="R38" s="358"/>
      <c r="S38" s="358"/>
      <c r="T38" s="358"/>
      <c r="U38" s="358"/>
      <c r="W38" s="204"/>
      <c r="X38" s="504"/>
    </row>
    <row r="39" spans="1:24" ht="32" customHeight="1">
      <c r="A39" s="227"/>
      <c r="B39" s="421"/>
      <c r="C39" s="422" t="s">
        <v>315</v>
      </c>
      <c r="D39" s="423"/>
      <c r="E39" s="423"/>
      <c r="F39" s="423"/>
      <c r="G39" s="423"/>
      <c r="H39" s="423"/>
      <c r="I39" s="423"/>
      <c r="J39" s="423"/>
      <c r="K39" s="423"/>
      <c r="L39" s="423"/>
      <c r="M39" s="423"/>
      <c r="N39" s="423"/>
      <c r="O39" s="423"/>
      <c r="P39" s="423"/>
      <c r="Q39" s="423"/>
      <c r="R39" s="423"/>
      <c r="S39" s="423"/>
      <c r="T39" s="423"/>
      <c r="U39" s="424"/>
      <c r="W39" s="204"/>
      <c r="X39" s="504"/>
    </row>
    <row r="40" spans="1:24" ht="24" customHeight="1">
      <c r="A40" s="227"/>
      <c r="B40" s="702"/>
      <c r="C40" s="703" t="s">
        <v>321</v>
      </c>
      <c r="D40" s="426" t="s">
        <v>326</v>
      </c>
      <c r="E40" s="234"/>
      <c r="F40" s="234"/>
      <c r="G40" s="234"/>
      <c r="H40" s="234"/>
      <c r="I40" s="234"/>
      <c r="J40" s="234"/>
      <c r="K40" s="234"/>
      <c r="L40" s="234"/>
      <c r="M40" s="1324" t="s">
        <v>328</v>
      </c>
      <c r="N40" s="1325"/>
      <c r="O40" s="1326" t="s">
        <v>329</v>
      </c>
      <c r="P40" s="1325"/>
      <c r="Q40" s="1324" t="s">
        <v>330</v>
      </c>
      <c r="R40" s="1324"/>
      <c r="S40" s="1326" t="s">
        <v>399</v>
      </c>
      <c r="T40" s="1324"/>
      <c r="U40" s="425"/>
      <c r="W40" s="204"/>
      <c r="X40" s="504"/>
    </row>
    <row r="41" spans="1:24" ht="6" customHeight="1">
      <c r="A41" s="227"/>
      <c r="B41" s="254"/>
      <c r="U41" s="227"/>
      <c r="W41" s="204"/>
      <c r="X41" s="504"/>
    </row>
    <row r="42" spans="1:24" ht="20" customHeight="1">
      <c r="A42" s="227"/>
      <c r="B42" s="254"/>
      <c r="C42" s="459">
        <v>1</v>
      </c>
      <c r="D42" s="1370" t="s">
        <v>5</v>
      </c>
      <c r="E42" s="1371"/>
      <c r="F42" s="1371"/>
      <c r="G42" s="1371"/>
      <c r="H42" s="867"/>
      <c r="I42" s="867" t="s">
        <v>719</v>
      </c>
      <c r="J42" s="867"/>
      <c r="K42" s="867"/>
      <c r="L42" s="868"/>
      <c r="M42" s="666">
        <v>0</v>
      </c>
      <c r="N42" s="664">
        <f>IF(OR(VA_FEHLER_AB&gt;0,VA_FEHLER_C&gt;0,VA_FEHLER_CD&gt;0),0,
0+intern!K83+
IF(OR(VA_BESTANDSEINGABE=1,VA_ZUSAMMEN=1),0,intern!U83))</f>
        <v>0</v>
      </c>
      <c r="O42" s="1548" t="s">
        <v>35</v>
      </c>
      <c r="P42" s="1549"/>
      <c r="Q42" s="1509">
        <v>250</v>
      </c>
      <c r="R42" s="1510"/>
      <c r="S42" s="1522">
        <f>IF(VA_KOSTENANALYSE&lt;2,N42*Q42,M42*Q42)</f>
        <v>0</v>
      </c>
      <c r="T42" s="1523"/>
      <c r="U42" s="227"/>
      <c r="W42" s="204"/>
      <c r="X42" s="504"/>
    </row>
    <row r="43" spans="1:24" ht="20" customHeight="1">
      <c r="A43" s="227"/>
      <c r="B43" s="254"/>
      <c r="C43" s="460">
        <v>2</v>
      </c>
      <c r="D43" s="1372" t="s">
        <v>902</v>
      </c>
      <c r="E43" s="1373"/>
      <c r="F43" s="1373"/>
      <c r="G43" s="1373"/>
      <c r="H43" s="871"/>
      <c r="I43" s="871" t="s">
        <v>719</v>
      </c>
      <c r="J43" s="871"/>
      <c r="K43" s="871"/>
      <c r="L43" s="872"/>
      <c r="M43" s="667">
        <v>0</v>
      </c>
      <c r="N43" s="665">
        <f>IF(OR(VA_FEHLER_AB&gt;0,VA_FEHLER_C&gt;0,VA_FEHLER_CD&gt;0),0,
0+intern!K84+
IF(OR(VA_BESTANDSEINGABE=1,VA_ZUSAMMEN=1),0,intern!U84))</f>
        <v>0</v>
      </c>
      <c r="O43" s="1366" t="s">
        <v>837</v>
      </c>
      <c r="P43" s="1367"/>
      <c r="Q43" s="1364">
        <v>200</v>
      </c>
      <c r="R43" s="1365"/>
      <c r="S43" s="1368">
        <f>IF(VA_KOSTENANALYSE&lt;2,N43*Q43,M43*Q43)</f>
        <v>0</v>
      </c>
      <c r="T43" s="1369"/>
      <c r="U43" s="227"/>
      <c r="W43" s="204"/>
      <c r="X43" s="504"/>
    </row>
    <row r="44" spans="1:24" ht="20" customHeight="1">
      <c r="A44" s="227"/>
      <c r="B44" s="254"/>
      <c r="C44" s="460">
        <v>3</v>
      </c>
      <c r="D44" s="1372" t="s">
        <v>6</v>
      </c>
      <c r="E44" s="1373"/>
      <c r="F44" s="1373"/>
      <c r="G44" s="1373"/>
      <c r="H44" s="871"/>
      <c r="I44" s="871" t="s">
        <v>719</v>
      </c>
      <c r="J44" s="871"/>
      <c r="K44" s="871"/>
      <c r="L44" s="872"/>
      <c r="M44" s="667">
        <v>0</v>
      </c>
      <c r="N44" s="665">
        <f>IF(OR(VA_FEHLER_AB&gt;0,VA_FEHLER_C&gt;0,VA_FEHLER_CD&gt;0),0,
0+intern!K85+
IF(OR(VA_BESTANDSEINGABE=1,VA_ZUSAMMEN=1),0,intern!U85))</f>
        <v>0</v>
      </c>
      <c r="O44" s="1366" t="s">
        <v>35</v>
      </c>
      <c r="P44" s="1367"/>
      <c r="Q44" s="1511">
        <v>450</v>
      </c>
      <c r="R44" s="1512"/>
      <c r="S44" s="1368">
        <f>IF(VA_KOSTENANALYSE&lt;2,N44*Q44,M44*Q44)</f>
        <v>0</v>
      </c>
      <c r="T44" s="1369"/>
      <c r="U44" s="227"/>
      <c r="W44" s="204"/>
      <c r="X44" s="504"/>
    </row>
    <row r="45" spans="1:24" ht="20" customHeight="1">
      <c r="A45" s="227"/>
      <c r="B45" s="254"/>
      <c r="C45" s="852">
        <v>4</v>
      </c>
      <c r="D45" s="1372" t="s">
        <v>715</v>
      </c>
      <c r="E45" s="1373"/>
      <c r="F45" s="1373"/>
      <c r="G45" s="1373"/>
      <c r="H45" s="871"/>
      <c r="I45" s="871" t="s">
        <v>719</v>
      </c>
      <c r="J45" s="871"/>
      <c r="K45" s="871"/>
      <c r="L45" s="872"/>
      <c r="M45" s="853">
        <v>0</v>
      </c>
      <c r="N45" s="854">
        <f>IF(OR(VA_FEHLER_AB&gt;0,VA_FEHLER_C&gt;0,VA_FEHLER_CD&gt;0),0,
0+intern!K86+
IF(OR(VA_BESTANDSEINGABE=1,VA_ZUSAMMEN=1),0,intern!U86))</f>
        <v>0</v>
      </c>
      <c r="O45" s="1366" t="s">
        <v>35</v>
      </c>
      <c r="P45" s="1367"/>
      <c r="Q45" s="1364">
        <v>250</v>
      </c>
      <c r="R45" s="1365"/>
      <c r="S45" s="1368">
        <f>IF(VA_KOSTENANALYSE&lt;2,N45*Q45,M45*Q45)</f>
        <v>0</v>
      </c>
      <c r="T45" s="1369"/>
      <c r="U45" s="227"/>
      <c r="W45" s="204"/>
      <c r="X45" s="504"/>
    </row>
    <row r="46" spans="1:24" ht="20" customHeight="1">
      <c r="A46" s="227"/>
      <c r="B46" s="254"/>
      <c r="C46" s="461">
        <v>5</v>
      </c>
      <c r="D46" s="1362" t="s">
        <v>228</v>
      </c>
      <c r="E46" s="1363"/>
      <c r="F46" s="1363"/>
      <c r="G46" s="1363"/>
      <c r="H46" s="869"/>
      <c r="I46" s="869" t="s">
        <v>719</v>
      </c>
      <c r="J46" s="869"/>
      <c r="K46" s="869"/>
      <c r="L46" s="870"/>
      <c r="M46" s="668">
        <v>0</v>
      </c>
      <c r="N46" s="669">
        <f>IF(OR(VA_FEHLER_AB&gt;0,VA_FEHLER_C&gt;0,VA_FEHLER_CD&gt;0),0,
0+intern!K87+
IF(OR(VA_BESTANDSEINGABE=1,VA_ZUSAMMEN=1),0,intern!U87))</f>
        <v>0</v>
      </c>
      <c r="O46" s="1528" t="s">
        <v>35</v>
      </c>
      <c r="P46" s="1529"/>
      <c r="Q46" s="1513">
        <v>3000</v>
      </c>
      <c r="R46" s="1514"/>
      <c r="S46" s="1524">
        <f>IF(VA_KOSTENANALYSE&lt;2,N46*Q46,M46*Q46)</f>
        <v>0</v>
      </c>
      <c r="T46" s="1525"/>
      <c r="U46" s="227"/>
      <c r="W46" s="204"/>
      <c r="X46" s="504"/>
    </row>
    <row r="47" spans="1:24" ht="20" customHeight="1">
      <c r="A47" s="227"/>
      <c r="B47" s="254"/>
      <c r="C47" s="663" t="s">
        <v>709</v>
      </c>
      <c r="D47" s="1516" t="s">
        <v>327</v>
      </c>
      <c r="E47" s="1517"/>
      <c r="F47" s="1517"/>
      <c r="G47" s="1517"/>
      <c r="H47" s="1517"/>
      <c r="I47" s="1517"/>
      <c r="J47" s="1517"/>
      <c r="K47" s="1517"/>
      <c r="L47" s="1517"/>
      <c r="M47" s="1357">
        <f>IF(VA_KOSTENANALYSE&lt;2,SUM(N42:N46),SUM(M42:M46))</f>
        <v>0</v>
      </c>
      <c r="N47" s="1358"/>
      <c r="O47" s="1530" t="s">
        <v>35</v>
      </c>
      <c r="P47" s="1531"/>
      <c r="Q47" s="1515"/>
      <c r="R47" s="1515"/>
      <c r="S47" s="1526">
        <f>SUM(S42:T46)</f>
        <v>0</v>
      </c>
      <c r="T47" s="1527"/>
      <c r="U47" s="227"/>
      <c r="W47" s="204"/>
      <c r="X47" s="504"/>
    </row>
    <row r="48" spans="1:24" ht="20" customHeight="1">
      <c r="A48" s="227"/>
      <c r="B48" s="254"/>
      <c r="C48" s="459" t="s">
        <v>783</v>
      </c>
      <c r="D48" s="1550" t="s">
        <v>780</v>
      </c>
      <c r="E48" s="1550"/>
      <c r="F48" s="1550"/>
      <c r="G48" s="1550"/>
      <c r="H48" s="1550"/>
      <c r="I48" s="1550"/>
      <c r="J48" s="1550"/>
      <c r="K48" s="1550"/>
      <c r="L48" s="1550"/>
      <c r="M48" s="666">
        <v>0</v>
      </c>
      <c r="N48" s="901">
        <f>IF(OR(VA_FEHLER_AB&gt;0,VA_FEHLER_C&gt;0,VA_FEHLER_CD&gt;0),0,
0+intern!O80-intern!O77-intern!J75+
IF(OR(VA_BESTANDSEINGABE=1,VA_ZUSAMMEN=1),0,intern!Q80-intern!Q77-intern!T75))</f>
        <v>0</v>
      </c>
      <c r="O48" s="1551" t="s">
        <v>35</v>
      </c>
      <c r="P48" s="1552"/>
      <c r="Q48" s="1555" t="s">
        <v>786</v>
      </c>
      <c r="R48" s="1555"/>
      <c r="S48" s="1555"/>
      <c r="T48" s="1556"/>
      <c r="U48" s="227"/>
      <c r="W48" s="204"/>
      <c r="X48" s="504"/>
    </row>
    <row r="49" spans="1:24" ht="20" customHeight="1">
      <c r="A49" s="227"/>
      <c r="B49" s="254"/>
      <c r="C49" s="662" t="s">
        <v>784</v>
      </c>
      <c r="D49" s="1557" t="s">
        <v>781</v>
      </c>
      <c r="E49" s="1558"/>
      <c r="F49" s="1558"/>
      <c r="G49" s="1558"/>
      <c r="H49" s="1558"/>
      <c r="I49" s="1558"/>
      <c r="J49" s="1558"/>
      <c r="K49" s="1558"/>
      <c r="L49" s="1559"/>
      <c r="M49" s="903">
        <f>M46</f>
        <v>0</v>
      </c>
      <c r="N49" s="904">
        <f>IF(OR(VA_FEHLER_AB&gt;0,VA_FEHLER_C&gt;0,VA_FEHLER_CD&gt;0),0,N46)</f>
        <v>0</v>
      </c>
      <c r="O49" s="896" t="s">
        <v>35</v>
      </c>
      <c r="P49" s="897"/>
      <c r="Q49" s="898"/>
      <c r="R49" s="898"/>
      <c r="S49" s="898"/>
      <c r="T49" s="899"/>
      <c r="U49" s="227"/>
      <c r="W49" s="204"/>
      <c r="X49" s="504"/>
    </row>
    <row r="50" spans="1:24" ht="20" customHeight="1">
      <c r="A50" s="227"/>
      <c r="B50" s="254"/>
      <c r="C50" s="460" t="s">
        <v>785</v>
      </c>
      <c r="D50" s="1557" t="s">
        <v>782</v>
      </c>
      <c r="E50" s="1558"/>
      <c r="F50" s="1558"/>
      <c r="G50" s="1558"/>
      <c r="H50" s="1558"/>
      <c r="I50" s="1558"/>
      <c r="J50" s="1558"/>
      <c r="K50" s="1558"/>
      <c r="L50" s="1559"/>
      <c r="M50" s="902">
        <v>0</v>
      </c>
      <c r="N50" s="900">
        <f>IF(OR(VA_FEHLER_AB&gt;0,VA_FEHLER_C&gt;0,VA_FEHLER_CD&gt;0),0,
0+intern!O77+
IF(OR(VA_BESTANDSEINGABE=1,VA_ZUSAMMEN=1),0,intern!Q77))</f>
        <v>0</v>
      </c>
      <c r="O50" s="896" t="s">
        <v>35</v>
      </c>
      <c r="P50" s="897"/>
      <c r="Q50" s="1519" t="s">
        <v>786</v>
      </c>
      <c r="R50" s="1519"/>
      <c r="S50" s="1519"/>
      <c r="T50" s="1520"/>
      <c r="U50" s="227"/>
      <c r="W50" s="204"/>
      <c r="X50" s="504"/>
    </row>
    <row r="51" spans="1:24" ht="20" customHeight="1">
      <c r="A51" s="227"/>
      <c r="B51" s="254"/>
      <c r="C51" s="461">
        <v>7</v>
      </c>
      <c r="D51" s="1518" t="str">
        <f>"davon (6a bis 6c) Anzahl der Stellplätze mit Nutzungsentgelt (max. " &amp; IF(VA_KOSTENANALYSE&lt;2,TEXT(SUM(N48:N50),"#.###"),TEXT(SUM(M48:M50),"#.###")) &amp; ")"</f>
        <v>davon (6a bis 6c) Anzahl der Stellplätze mit Nutzungsentgelt (max. )</v>
      </c>
      <c r="E51" s="1518"/>
      <c r="F51" s="1518"/>
      <c r="G51" s="1518"/>
      <c r="H51" s="1518"/>
      <c r="I51" s="1518"/>
      <c r="J51" s="1518"/>
      <c r="K51" s="1518"/>
      <c r="L51" s="1518"/>
      <c r="M51" s="1359">
        <v>0</v>
      </c>
      <c r="N51" s="1360"/>
      <c r="O51" s="1507" t="s">
        <v>35</v>
      </c>
      <c r="P51" s="1508"/>
      <c r="Q51" s="1553" t="s">
        <v>786</v>
      </c>
      <c r="R51" s="1553"/>
      <c r="S51" s="1553"/>
      <c r="T51" s="1554"/>
      <c r="U51" s="227"/>
      <c r="W51" s="204"/>
      <c r="X51" s="504"/>
    </row>
    <row r="52" spans="1:24" ht="12" customHeight="1">
      <c r="A52" s="227"/>
      <c r="B52" s="236"/>
      <c r="C52" s="237"/>
      <c r="D52" s="237"/>
      <c r="E52" s="237"/>
      <c r="F52" s="237"/>
      <c r="G52" s="237"/>
      <c r="H52" s="237"/>
      <c r="I52" s="237"/>
      <c r="J52" s="237"/>
      <c r="K52" s="237"/>
      <c r="L52" s="237"/>
      <c r="M52" s="488"/>
      <c r="N52" s="237"/>
      <c r="O52" s="237"/>
      <c r="P52" s="237"/>
      <c r="Q52" s="237"/>
      <c r="R52" s="237"/>
      <c r="S52" s="237"/>
      <c r="T52" s="237"/>
      <c r="U52" s="239"/>
      <c r="W52" s="204"/>
      <c r="X52" s="504"/>
    </row>
    <row r="53" spans="1:24" ht="24" customHeight="1">
      <c r="A53" s="227"/>
      <c r="B53" s="702"/>
      <c r="C53" s="703" t="s">
        <v>331</v>
      </c>
      <c r="D53" s="426" t="s">
        <v>628</v>
      </c>
      <c r="E53" s="234"/>
      <c r="F53" s="234"/>
      <c r="G53" s="234"/>
      <c r="H53" s="234"/>
      <c r="I53" s="234"/>
      <c r="J53" s="234"/>
      <c r="K53" s="234"/>
      <c r="L53" s="234"/>
      <c r="M53" s="1324" t="s">
        <v>328</v>
      </c>
      <c r="N53" s="1325"/>
      <c r="O53" s="1326" t="s">
        <v>329</v>
      </c>
      <c r="P53" s="1325"/>
      <c r="Q53" s="1324" t="s">
        <v>330</v>
      </c>
      <c r="R53" s="1324"/>
      <c r="S53" s="1326" t="s">
        <v>399</v>
      </c>
      <c r="T53" s="1324"/>
      <c r="U53" s="427"/>
      <c r="W53" s="204"/>
      <c r="X53" s="504"/>
    </row>
    <row r="54" spans="1:24" ht="6" customHeight="1">
      <c r="A54" s="227"/>
      <c r="B54" s="254"/>
      <c r="U54" s="227"/>
      <c r="W54" s="204"/>
      <c r="X54" s="504"/>
    </row>
    <row r="55" spans="1:24" ht="20" customHeight="1" thickBot="1">
      <c r="A55" s="227"/>
      <c r="B55" s="254"/>
      <c r="C55" s="462">
        <v>1</v>
      </c>
      <c r="D55" s="1348" t="s">
        <v>776</v>
      </c>
      <c r="E55" s="1349"/>
      <c r="F55" s="1349"/>
      <c r="G55" s="1349"/>
      <c r="H55" s="1349"/>
      <c r="I55" s="1349"/>
      <c r="J55" s="1349"/>
      <c r="K55" s="1350"/>
      <c r="L55" s="928">
        <f>intern!K342</f>
        <v>0</v>
      </c>
      <c r="M55" s="1501"/>
      <c r="N55" s="1502"/>
      <c r="O55" s="1548" t="s">
        <v>333</v>
      </c>
      <c r="P55" s="1549"/>
      <c r="Q55" s="1509">
        <v>250</v>
      </c>
      <c r="R55" s="1510"/>
      <c r="S55" s="1560">
        <f>IF(M55&lt;&gt;"",M55*Q55,IF(ISNUMBER(L55),L55*Q55,0))</f>
        <v>0</v>
      </c>
      <c r="T55" s="1561"/>
      <c r="U55" s="227"/>
      <c r="W55" s="204"/>
      <c r="X55" s="504"/>
    </row>
    <row r="56" spans="1:24" ht="20" customHeight="1" thickBot="1">
      <c r="A56" s="227"/>
      <c r="B56" s="254"/>
      <c r="C56" s="466">
        <v>2</v>
      </c>
      <c r="D56" s="1351" t="s">
        <v>332</v>
      </c>
      <c r="E56" s="1352"/>
      <c r="F56" s="1352"/>
      <c r="G56" s="1352"/>
      <c r="H56" s="1352"/>
      <c r="I56" s="1352"/>
      <c r="J56" s="1352"/>
      <c r="K56" s="1353"/>
      <c r="L56" s="928">
        <f>intern!K343</f>
        <v>0</v>
      </c>
      <c r="M56" s="1492"/>
      <c r="N56" s="1493"/>
      <c r="O56" s="1366" t="s">
        <v>333</v>
      </c>
      <c r="P56" s="1367"/>
      <c r="Q56" s="1364">
        <v>800</v>
      </c>
      <c r="R56" s="1365"/>
      <c r="S56" s="1562">
        <f>IF(M56&lt;&gt;"",M56*Q56,IF(ISNUMBER(L56),L56*Q56,0))</f>
        <v>0</v>
      </c>
      <c r="T56" s="1563"/>
      <c r="U56" s="227"/>
      <c r="W56" s="204"/>
      <c r="X56" s="504"/>
    </row>
    <row r="57" spans="1:24" ht="20" customHeight="1" thickBot="1">
      <c r="A57" s="227"/>
      <c r="B57" s="254"/>
      <c r="C57" s="463">
        <v>3</v>
      </c>
      <c r="D57" s="1317" t="s">
        <v>334</v>
      </c>
      <c r="E57" s="1318"/>
      <c r="F57" s="1318"/>
      <c r="G57" s="1318"/>
      <c r="H57" s="1318"/>
      <c r="I57" s="1318"/>
      <c r="J57" s="1318"/>
      <c r="K57" s="1319"/>
      <c r="L57" s="928">
        <f>intern!K344</f>
        <v>0</v>
      </c>
      <c r="M57" s="1492"/>
      <c r="N57" s="1493"/>
      <c r="O57" s="1366" t="s">
        <v>333</v>
      </c>
      <c r="P57" s="1367"/>
      <c r="Q57" s="1364">
        <v>400</v>
      </c>
      <c r="R57" s="1365"/>
      <c r="S57" s="1562">
        <f>IF(M57&lt;&gt;"",M57*Q57,IF(ISNUMBER(L57),L57*Q57,0))</f>
        <v>0</v>
      </c>
      <c r="T57" s="1563"/>
      <c r="U57" s="227"/>
      <c r="W57" s="204"/>
      <c r="X57" s="504"/>
    </row>
    <row r="58" spans="1:24" ht="20" customHeight="1">
      <c r="A58" s="227"/>
      <c r="B58" s="254"/>
      <c r="C58" s="464">
        <v>4</v>
      </c>
      <c r="D58" s="1538" t="s">
        <v>335</v>
      </c>
      <c r="E58" s="1539"/>
      <c r="F58" s="1539"/>
      <c r="G58" s="1539"/>
      <c r="H58" s="1539"/>
      <c r="I58" s="1539"/>
      <c r="J58" s="1539"/>
      <c r="K58" s="1540"/>
      <c r="L58" s="929">
        <f>intern!K345</f>
        <v>0</v>
      </c>
      <c r="M58" s="1496"/>
      <c r="N58" s="1497"/>
      <c r="O58" s="1528" t="s">
        <v>323</v>
      </c>
      <c r="P58" s="1529"/>
      <c r="Q58" s="1513">
        <v>15000</v>
      </c>
      <c r="R58" s="1514"/>
      <c r="S58" s="1524">
        <f>IF(M58&lt;&gt;"",M58*Q58,IF(ISNUMBER(L58),L58*Q58,0))</f>
        <v>0</v>
      </c>
      <c r="T58" s="1525"/>
      <c r="U58" s="227"/>
      <c r="W58" s="204"/>
      <c r="X58" s="504"/>
    </row>
    <row r="59" spans="1:24" ht="12" customHeight="1">
      <c r="A59" s="227"/>
      <c r="B59" s="236"/>
      <c r="C59" s="237"/>
      <c r="D59" s="237"/>
      <c r="E59" s="237"/>
      <c r="F59" s="237"/>
      <c r="G59" s="237"/>
      <c r="H59" s="237"/>
      <c r="I59" s="237"/>
      <c r="J59" s="237"/>
      <c r="K59" s="237"/>
      <c r="L59" s="237"/>
      <c r="M59" s="237"/>
      <c r="N59" s="237"/>
      <c r="O59" s="237"/>
      <c r="P59" s="237"/>
      <c r="Q59" s="237"/>
      <c r="R59" s="237"/>
      <c r="S59" s="237"/>
      <c r="T59" s="237"/>
      <c r="U59" s="239"/>
      <c r="W59" s="204"/>
      <c r="X59" s="504"/>
    </row>
    <row r="60" spans="1:24" ht="24" customHeight="1">
      <c r="A60" s="227"/>
      <c r="B60" s="702"/>
      <c r="C60" s="703" t="s">
        <v>336</v>
      </c>
      <c r="D60" s="426" t="s">
        <v>337</v>
      </c>
      <c r="E60" s="234"/>
      <c r="F60" s="234"/>
      <c r="G60" s="234"/>
      <c r="H60" s="234"/>
      <c r="I60" s="234"/>
      <c r="J60" s="234"/>
      <c r="K60" s="234"/>
      <c r="L60" s="234"/>
      <c r="M60" s="1324" t="s">
        <v>328</v>
      </c>
      <c r="N60" s="1325"/>
      <c r="O60" s="1326" t="s">
        <v>329</v>
      </c>
      <c r="P60" s="1325"/>
      <c r="Q60" s="1324" t="s">
        <v>330</v>
      </c>
      <c r="R60" s="1324"/>
      <c r="S60" s="1326" t="s">
        <v>399</v>
      </c>
      <c r="T60" s="1324"/>
      <c r="U60" s="427"/>
      <c r="W60" s="204"/>
      <c r="X60" s="504"/>
    </row>
    <row r="61" spans="1:24" ht="6" customHeight="1">
      <c r="A61" s="227"/>
      <c r="B61" s="254"/>
      <c r="U61" s="227"/>
      <c r="W61" s="204"/>
      <c r="X61" s="504"/>
    </row>
    <row r="62" spans="1:24" ht="20" customHeight="1">
      <c r="A62" s="227"/>
      <c r="B62" s="254"/>
      <c r="C62" s="465">
        <v>1</v>
      </c>
      <c r="D62" s="1541" t="s">
        <v>777</v>
      </c>
      <c r="E62" s="1542"/>
      <c r="F62" s="1542"/>
      <c r="G62" s="1542"/>
      <c r="H62" s="1542"/>
      <c r="I62" s="1542"/>
      <c r="J62" s="1542"/>
      <c r="K62" s="1543"/>
      <c r="L62" s="930">
        <f>intern!K349</f>
        <v>0</v>
      </c>
      <c r="M62" s="1490"/>
      <c r="N62" s="1491"/>
      <c r="O62" s="1532" t="s">
        <v>338</v>
      </c>
      <c r="P62" s="1533"/>
      <c r="Q62" s="1534">
        <v>1500</v>
      </c>
      <c r="R62" s="1535"/>
      <c r="S62" s="1536">
        <f>IF(M62&lt;&gt;"",M62*Q62,IF(ISNUMBER(L62),L62*Q62,0))</f>
        <v>0</v>
      </c>
      <c r="T62" s="1537"/>
      <c r="U62" s="227"/>
      <c r="W62" s="204"/>
      <c r="X62" s="504"/>
    </row>
    <row r="63" spans="1:24" ht="12" customHeight="1">
      <c r="A63" s="227"/>
      <c r="B63" s="236"/>
      <c r="C63" s="237"/>
      <c r="D63" s="237"/>
      <c r="E63" s="237"/>
      <c r="F63" s="237"/>
      <c r="G63" s="237"/>
      <c r="H63" s="237"/>
      <c r="I63" s="237"/>
      <c r="J63" s="237"/>
      <c r="K63" s="237"/>
      <c r="L63" s="237"/>
      <c r="M63" s="237"/>
      <c r="N63" s="237"/>
      <c r="O63" s="237"/>
      <c r="P63" s="237"/>
      <c r="Q63" s="237"/>
      <c r="R63" s="237"/>
      <c r="S63" s="237"/>
      <c r="T63" s="237"/>
      <c r="U63" s="239"/>
      <c r="W63" s="204"/>
      <c r="X63" s="504"/>
    </row>
    <row r="64" spans="1:24" ht="24" customHeight="1">
      <c r="A64" s="227"/>
      <c r="B64" s="702"/>
      <c r="C64" s="703" t="s">
        <v>339</v>
      </c>
      <c r="D64" s="426" t="s">
        <v>340</v>
      </c>
      <c r="E64" s="234"/>
      <c r="F64" s="234"/>
      <c r="G64" s="234"/>
      <c r="H64" s="234"/>
      <c r="I64" s="234"/>
      <c r="J64" s="234"/>
      <c r="K64" s="234"/>
      <c r="L64" s="234"/>
      <c r="M64" s="1324" t="s">
        <v>328</v>
      </c>
      <c r="N64" s="1325"/>
      <c r="O64" s="1326" t="s">
        <v>329</v>
      </c>
      <c r="P64" s="1325"/>
      <c r="Q64" s="1324" t="s">
        <v>330</v>
      </c>
      <c r="R64" s="1324"/>
      <c r="S64" s="1326" t="s">
        <v>399</v>
      </c>
      <c r="T64" s="1324"/>
      <c r="U64" s="427"/>
      <c r="W64" s="204"/>
      <c r="X64" s="504"/>
    </row>
    <row r="65" spans="1:24" ht="6" customHeight="1">
      <c r="A65" s="227"/>
      <c r="B65" s="254"/>
      <c r="U65" s="227"/>
      <c r="W65" s="204"/>
      <c r="X65" s="504"/>
    </row>
    <row r="66" spans="1:24" ht="20" customHeight="1" thickBot="1">
      <c r="A66" s="227"/>
      <c r="B66" s="254"/>
      <c r="C66" s="462">
        <v>1</v>
      </c>
      <c r="D66" s="1544" t="s">
        <v>341</v>
      </c>
      <c r="E66" s="1545"/>
      <c r="F66" s="1545"/>
      <c r="G66" s="1545"/>
      <c r="H66" s="1545"/>
      <c r="I66" s="1545"/>
      <c r="J66" s="1545"/>
      <c r="K66" s="1546"/>
      <c r="L66" s="928">
        <f>intern!K353</f>
        <v>0</v>
      </c>
      <c r="M66" s="1501"/>
      <c r="N66" s="1502"/>
      <c r="O66" s="1499" t="s">
        <v>323</v>
      </c>
      <c r="P66" s="1499"/>
      <c r="Q66" s="1564">
        <v>10000</v>
      </c>
      <c r="R66" s="1564"/>
      <c r="S66" s="1423">
        <f>IF(M66&lt;&gt;"",M66*Q66,IF(ISNUMBER(L66),L66*Q66,0))</f>
        <v>0</v>
      </c>
      <c r="T66" s="1424"/>
      <c r="U66" s="227"/>
      <c r="W66" s="204"/>
      <c r="X66" s="504"/>
    </row>
    <row r="67" spans="1:24" ht="20" customHeight="1" thickBot="1">
      <c r="A67" s="227"/>
      <c r="B67" s="254"/>
      <c r="C67" s="463">
        <v>2</v>
      </c>
      <c r="D67" s="1317" t="s">
        <v>342</v>
      </c>
      <c r="E67" s="1318"/>
      <c r="F67" s="1318"/>
      <c r="G67" s="1318"/>
      <c r="H67" s="1318"/>
      <c r="I67" s="1318"/>
      <c r="J67" s="1318"/>
      <c r="K67" s="1319"/>
      <c r="L67" s="928">
        <f>intern!K354</f>
        <v>0</v>
      </c>
      <c r="M67" s="1492"/>
      <c r="N67" s="1493"/>
      <c r="O67" s="1443" t="s">
        <v>323</v>
      </c>
      <c r="P67" s="1443"/>
      <c r="Q67" s="1441">
        <v>60000</v>
      </c>
      <c r="R67" s="1441"/>
      <c r="S67" s="1379">
        <f>IF(M67&lt;&gt;"",M67*Q67,IF(ISNUMBER(L67),L67*Q67,0))</f>
        <v>0</v>
      </c>
      <c r="T67" s="1380"/>
      <c r="U67" s="227"/>
      <c r="W67" s="204"/>
      <c r="X67" s="504"/>
    </row>
    <row r="68" spans="1:24" ht="20" customHeight="1" thickBot="1">
      <c r="A68" s="227"/>
      <c r="B68" s="254"/>
      <c r="C68" s="463">
        <v>3</v>
      </c>
      <c r="D68" s="1317" t="s">
        <v>343</v>
      </c>
      <c r="E68" s="1318"/>
      <c r="F68" s="1318"/>
      <c r="G68" s="1318"/>
      <c r="H68" s="1318"/>
      <c r="I68" s="1318"/>
      <c r="J68" s="1318"/>
      <c r="K68" s="1319"/>
      <c r="L68" s="928">
        <f>intern!K355</f>
        <v>0</v>
      </c>
      <c r="M68" s="1492"/>
      <c r="N68" s="1493"/>
      <c r="O68" s="1443" t="s">
        <v>333</v>
      </c>
      <c r="P68" s="1443"/>
      <c r="Q68" s="1441">
        <v>90</v>
      </c>
      <c r="R68" s="1441"/>
      <c r="S68" s="1379">
        <f>IF(M68&lt;&gt;"",M68*Q68,IF(ISNUMBER(L68),L68*Q68,0))</f>
        <v>0</v>
      </c>
      <c r="T68" s="1380"/>
      <c r="U68" s="227"/>
      <c r="W68" s="204"/>
      <c r="X68" s="504"/>
    </row>
    <row r="69" spans="1:24" ht="20" customHeight="1">
      <c r="A69" s="227"/>
      <c r="B69" s="254"/>
      <c r="C69" s="463">
        <v>4</v>
      </c>
      <c r="D69" s="1494" t="s">
        <v>344</v>
      </c>
      <c r="E69" s="1494"/>
      <c r="F69" s="1494"/>
      <c r="G69" s="1494"/>
      <c r="H69" s="1494"/>
      <c r="I69" s="1494"/>
      <c r="J69" s="1494"/>
      <c r="K69" s="1494"/>
      <c r="L69" s="1494"/>
      <c r="M69" s="1492">
        <v>0</v>
      </c>
      <c r="N69" s="1493"/>
      <c r="O69" s="1443" t="s">
        <v>323</v>
      </c>
      <c r="P69" s="1443"/>
      <c r="Q69" s="1441">
        <v>12500</v>
      </c>
      <c r="R69" s="1441"/>
      <c r="S69" s="1379">
        <f t="shared" ref="S69:S71" si="0">M69*Q69</f>
        <v>0</v>
      </c>
      <c r="T69" s="1380"/>
      <c r="U69" s="227"/>
      <c r="W69" s="204"/>
      <c r="X69" s="504"/>
    </row>
    <row r="70" spans="1:24" ht="20" customHeight="1">
      <c r="A70" s="227"/>
      <c r="B70" s="254"/>
      <c r="C70" s="463">
        <v>5</v>
      </c>
      <c r="D70" s="1336" t="s">
        <v>581</v>
      </c>
      <c r="E70" s="1494"/>
      <c r="F70" s="1494"/>
      <c r="G70" s="1494"/>
      <c r="H70" s="1494"/>
      <c r="I70" s="1494"/>
      <c r="J70" s="1494"/>
      <c r="K70" s="1494"/>
      <c r="L70" s="1494"/>
      <c r="M70" s="1492">
        <v>0</v>
      </c>
      <c r="N70" s="1493"/>
      <c r="O70" s="1443" t="s">
        <v>323</v>
      </c>
      <c r="P70" s="1443"/>
      <c r="Q70" s="1441">
        <v>500</v>
      </c>
      <c r="R70" s="1441"/>
      <c r="S70" s="1379">
        <f t="shared" si="0"/>
        <v>0</v>
      </c>
      <c r="T70" s="1380"/>
      <c r="U70" s="227"/>
      <c r="W70" s="204"/>
      <c r="X70" s="504"/>
    </row>
    <row r="71" spans="1:24" ht="20" customHeight="1">
      <c r="A71" s="227"/>
      <c r="B71" s="254"/>
      <c r="C71" s="464">
        <v>6</v>
      </c>
      <c r="D71" s="1547" t="s">
        <v>345</v>
      </c>
      <c r="E71" s="1547"/>
      <c r="F71" s="1547"/>
      <c r="G71" s="1547"/>
      <c r="H71" s="1547"/>
      <c r="I71" s="1547"/>
      <c r="J71" s="1547"/>
      <c r="K71" s="1547"/>
      <c r="L71" s="1547"/>
      <c r="M71" s="1496">
        <v>0</v>
      </c>
      <c r="N71" s="1497"/>
      <c r="O71" s="1500" t="s">
        <v>333</v>
      </c>
      <c r="P71" s="1500"/>
      <c r="Q71" s="1498">
        <v>500</v>
      </c>
      <c r="R71" s="1498"/>
      <c r="S71" s="1332">
        <f t="shared" si="0"/>
        <v>0</v>
      </c>
      <c r="T71" s="1333"/>
      <c r="U71" s="227"/>
      <c r="W71" s="204"/>
      <c r="X71" s="504"/>
    </row>
    <row r="72" spans="1:24" ht="12" customHeight="1">
      <c r="A72" s="227"/>
      <c r="B72" s="236"/>
      <c r="C72" s="237"/>
      <c r="D72" s="237"/>
      <c r="E72" s="237"/>
      <c r="F72" s="237"/>
      <c r="G72" s="237"/>
      <c r="H72" s="237"/>
      <c r="I72" s="237"/>
      <c r="J72" s="237"/>
      <c r="K72" s="237"/>
      <c r="L72" s="237"/>
      <c r="M72" s="237"/>
      <c r="N72" s="237"/>
      <c r="O72" s="237"/>
      <c r="P72" s="237"/>
      <c r="Q72" s="237"/>
      <c r="R72" s="237"/>
      <c r="S72" s="237"/>
      <c r="T72" s="237"/>
      <c r="U72" s="239"/>
      <c r="W72" s="204"/>
      <c r="X72" s="504"/>
    </row>
    <row r="73" spans="1:24" ht="24" customHeight="1">
      <c r="A73" s="227"/>
      <c r="B73" s="702"/>
      <c r="C73" s="703" t="s">
        <v>346</v>
      </c>
      <c r="D73" s="426" t="s">
        <v>407</v>
      </c>
      <c r="E73" s="234"/>
      <c r="F73" s="234"/>
      <c r="G73" s="234"/>
      <c r="H73" s="234"/>
      <c r="I73" s="234"/>
      <c r="J73" s="234"/>
      <c r="K73" s="234"/>
      <c r="L73" s="234"/>
      <c r="M73" s="1324" t="s">
        <v>328</v>
      </c>
      <c r="N73" s="1325"/>
      <c r="O73" s="1326" t="s">
        <v>329</v>
      </c>
      <c r="P73" s="1325"/>
      <c r="Q73" s="1324" t="s">
        <v>330</v>
      </c>
      <c r="R73" s="1324"/>
      <c r="S73" s="1326" t="s">
        <v>399</v>
      </c>
      <c r="T73" s="1324"/>
      <c r="U73" s="427"/>
      <c r="W73" s="204"/>
      <c r="X73" s="504"/>
    </row>
    <row r="74" spans="1:24" ht="6" customHeight="1">
      <c r="A74" s="227"/>
      <c r="B74" s="254"/>
      <c r="U74" s="227"/>
      <c r="W74" s="204"/>
      <c r="X74" s="504"/>
    </row>
    <row r="75" spans="1:24" ht="20" customHeight="1">
      <c r="A75" s="227"/>
      <c r="B75" s="254"/>
      <c r="C75" s="462">
        <v>0</v>
      </c>
      <c r="D75" s="1476" t="s">
        <v>402</v>
      </c>
      <c r="E75" s="1476"/>
      <c r="F75" s="1476"/>
      <c r="G75" s="1476"/>
      <c r="H75" s="1476"/>
      <c r="I75" s="1476"/>
      <c r="J75" s="1476"/>
      <c r="K75" s="1476"/>
      <c r="L75" s="1477"/>
      <c r="M75" s="431"/>
      <c r="N75" s="431"/>
      <c r="O75" s="1386"/>
      <c r="P75" s="1495"/>
      <c r="Q75" s="1487"/>
      <c r="R75" s="1488"/>
      <c r="S75" s="1473">
        <f>SUM(S47,S55:T58,S62,S66:T71)</f>
        <v>0</v>
      </c>
      <c r="T75" s="1474"/>
      <c r="U75" s="227"/>
      <c r="W75" s="204"/>
      <c r="X75" s="504"/>
    </row>
    <row r="76" spans="1:24" ht="20" customHeight="1">
      <c r="A76" s="227"/>
      <c r="B76" s="254"/>
      <c r="C76" s="463">
        <v>1</v>
      </c>
      <c r="D76" s="1336" t="s">
        <v>347</v>
      </c>
      <c r="E76" s="1336"/>
      <c r="F76" s="1336"/>
      <c r="G76" s="1336"/>
      <c r="H76" s="1336"/>
      <c r="I76" s="1336"/>
      <c r="J76" s="1336"/>
      <c r="K76" s="1336"/>
      <c r="L76" s="1336"/>
      <c r="M76" s="1338" t="s">
        <v>403</v>
      </c>
      <c r="N76" s="1339"/>
      <c r="O76" s="1381" t="s">
        <v>404</v>
      </c>
      <c r="P76" s="1381"/>
      <c r="Q76" s="1475">
        <v>0.1</v>
      </c>
      <c r="R76" s="1475"/>
      <c r="S76" s="1379">
        <f>S75*Q76*IF(M76="ja",1,0)</f>
        <v>0</v>
      </c>
      <c r="T76" s="1380"/>
      <c r="U76" s="227"/>
      <c r="W76" s="204"/>
      <c r="X76" s="504"/>
    </row>
    <row r="77" spans="1:24" ht="20" customHeight="1">
      <c r="A77" s="227"/>
      <c r="B77" s="254"/>
      <c r="C77" s="463">
        <v>2</v>
      </c>
      <c r="D77" s="1336" t="s">
        <v>348</v>
      </c>
      <c r="E77" s="1336"/>
      <c r="F77" s="1336"/>
      <c r="G77" s="1336"/>
      <c r="H77" s="1336"/>
      <c r="I77" s="1336"/>
      <c r="J77" s="1336"/>
      <c r="K77" s="1336"/>
      <c r="L77" s="1336"/>
      <c r="M77" s="1338" t="s">
        <v>403</v>
      </c>
      <c r="N77" s="1339"/>
      <c r="O77" s="1381" t="s">
        <v>404</v>
      </c>
      <c r="P77" s="1381"/>
      <c r="Q77" s="1475">
        <v>0.08</v>
      </c>
      <c r="R77" s="1475"/>
      <c r="S77" s="1379">
        <f>S75*Q77*IF(M77="ja",1,0)</f>
        <v>0</v>
      </c>
      <c r="T77" s="1380"/>
      <c r="U77" s="227"/>
      <c r="W77" s="204"/>
      <c r="X77" s="504"/>
    </row>
    <row r="78" spans="1:24" ht="20" customHeight="1">
      <c r="A78" s="227"/>
      <c r="B78" s="254"/>
      <c r="C78" s="464">
        <v>3</v>
      </c>
      <c r="D78" s="1331" t="s">
        <v>491</v>
      </c>
      <c r="E78" s="1331"/>
      <c r="F78" s="1331"/>
      <c r="G78" s="1331"/>
      <c r="H78" s="1331"/>
      <c r="I78" s="1331"/>
      <c r="J78" s="1331"/>
      <c r="K78" s="1331"/>
      <c r="L78" s="1337"/>
      <c r="M78" s="432"/>
      <c r="N78" s="432"/>
      <c r="O78" s="1408" t="s">
        <v>349</v>
      </c>
      <c r="P78" s="1409"/>
      <c r="Q78" s="1427">
        <v>0</v>
      </c>
      <c r="R78" s="1427"/>
      <c r="S78" s="1332">
        <f>Q78</f>
        <v>0</v>
      </c>
      <c r="T78" s="1333"/>
      <c r="U78" s="227"/>
      <c r="W78" s="204"/>
      <c r="X78" s="504"/>
    </row>
    <row r="79" spans="1:24" ht="20" customHeight="1">
      <c r="A79" s="227"/>
      <c r="B79" s="254"/>
      <c r="C79" s="466" t="s">
        <v>406</v>
      </c>
      <c r="D79" s="1327" t="s">
        <v>405</v>
      </c>
      <c r="E79" s="1327"/>
      <c r="F79" s="1327"/>
      <c r="G79" s="1327"/>
      <c r="H79" s="1327"/>
      <c r="I79" s="1327"/>
      <c r="J79" s="1327"/>
      <c r="K79" s="1327"/>
      <c r="L79" s="1328"/>
      <c r="M79" s="308"/>
      <c r="N79" s="308"/>
      <c r="O79" s="467"/>
      <c r="P79" s="467"/>
      <c r="Q79" s="468"/>
      <c r="R79" s="469"/>
      <c r="S79" s="1329">
        <f>SUM(S75:T78)</f>
        <v>0</v>
      </c>
      <c r="T79" s="1330"/>
      <c r="U79" s="360"/>
      <c r="W79" s="204"/>
      <c r="X79" s="504"/>
    </row>
    <row r="80" spans="1:24" ht="20" customHeight="1">
      <c r="A80" s="227"/>
      <c r="B80" s="254"/>
      <c r="C80" s="464">
        <v>4</v>
      </c>
      <c r="D80" s="1331" t="s">
        <v>408</v>
      </c>
      <c r="E80" s="1331"/>
      <c r="F80" s="1331"/>
      <c r="G80" s="1331"/>
      <c r="H80" s="1331"/>
      <c r="I80" s="1331"/>
      <c r="J80" s="1331"/>
      <c r="K80" s="1331"/>
      <c r="L80" s="1331"/>
      <c r="M80" s="1332">
        <f>S79</f>
        <v>0</v>
      </c>
      <c r="N80" s="1332"/>
      <c r="O80" s="1334" t="s">
        <v>410</v>
      </c>
      <c r="P80" s="1335"/>
      <c r="Q80" s="1489">
        <v>0.25</v>
      </c>
      <c r="R80" s="1489"/>
      <c r="S80" s="1332">
        <f>M80*Q80</f>
        <v>0</v>
      </c>
      <c r="T80" s="1333"/>
      <c r="U80" s="227"/>
      <c r="W80" s="204"/>
      <c r="X80" s="504"/>
    </row>
    <row r="81" spans="1:24" ht="12" customHeight="1">
      <c r="A81" s="227"/>
      <c r="B81" s="236"/>
      <c r="C81" s="237"/>
      <c r="D81" s="237"/>
      <c r="E81" s="237"/>
      <c r="F81" s="237"/>
      <c r="G81" s="237"/>
      <c r="H81" s="237"/>
      <c r="I81" s="237"/>
      <c r="J81" s="237"/>
      <c r="K81" s="237"/>
      <c r="L81" s="237"/>
      <c r="M81" s="237"/>
      <c r="N81" s="237"/>
      <c r="O81" s="237"/>
      <c r="P81" s="237"/>
      <c r="Q81" s="237"/>
      <c r="R81" s="237"/>
      <c r="S81" s="237"/>
      <c r="T81" s="237"/>
      <c r="U81" s="239"/>
      <c r="W81" s="204"/>
      <c r="X81" s="504"/>
    </row>
    <row r="82" spans="1:24" ht="24" customHeight="1">
      <c r="A82" s="227"/>
      <c r="B82" s="702"/>
      <c r="C82" s="703" t="s">
        <v>350</v>
      </c>
      <c r="D82" s="426" t="s">
        <v>351</v>
      </c>
      <c r="E82" s="234"/>
      <c r="F82" s="234"/>
      <c r="G82" s="234"/>
      <c r="H82" s="234"/>
      <c r="I82" s="234"/>
      <c r="J82" s="234"/>
      <c r="K82" s="234"/>
      <c r="L82" s="234"/>
      <c r="M82" s="1324" t="s">
        <v>328</v>
      </c>
      <c r="N82" s="1325"/>
      <c r="O82" s="1326" t="s">
        <v>329</v>
      </c>
      <c r="P82" s="1325"/>
      <c r="Q82" s="1324" t="s">
        <v>330</v>
      </c>
      <c r="R82" s="1324"/>
      <c r="S82" s="1326" t="s">
        <v>399</v>
      </c>
      <c r="T82" s="1324"/>
      <c r="U82" s="427"/>
      <c r="W82" s="204"/>
      <c r="X82" s="504"/>
    </row>
    <row r="83" spans="1:24" ht="6" customHeight="1">
      <c r="A83" s="227"/>
      <c r="B83" s="254"/>
      <c r="U83" s="227"/>
      <c r="W83" s="204"/>
      <c r="X83" s="504"/>
    </row>
    <row r="84" spans="1:24" ht="20" customHeight="1">
      <c r="A84" s="227"/>
      <c r="B84" s="254"/>
      <c r="C84" s="462">
        <v>0</v>
      </c>
      <c r="D84" s="1476" t="s">
        <v>409</v>
      </c>
      <c r="E84" s="1476"/>
      <c r="F84" s="1476"/>
      <c r="G84" s="1476"/>
      <c r="H84" s="1476"/>
      <c r="I84" s="1476"/>
      <c r="J84" s="1476"/>
      <c r="K84" s="1476"/>
      <c r="L84" s="1477"/>
      <c r="M84" s="431"/>
      <c r="N84" s="431"/>
      <c r="O84" s="431"/>
      <c r="P84" s="431"/>
      <c r="Q84" s="431"/>
      <c r="R84" s="433"/>
      <c r="S84" s="1473">
        <f>SUM(S79:T80)</f>
        <v>0</v>
      </c>
      <c r="T84" s="1474"/>
      <c r="U84" s="227"/>
      <c r="W84" s="204"/>
      <c r="X84" s="504"/>
    </row>
    <row r="85" spans="1:24" ht="20" customHeight="1">
      <c r="A85" s="227"/>
      <c r="B85" s="254"/>
      <c r="C85" s="463">
        <v>1</v>
      </c>
      <c r="D85" s="1336" t="s">
        <v>352</v>
      </c>
      <c r="E85" s="1336"/>
      <c r="F85" s="1336"/>
      <c r="G85" s="1336"/>
      <c r="H85" s="1336"/>
      <c r="I85" s="1336"/>
      <c r="J85" s="1336"/>
      <c r="K85" s="1336"/>
      <c r="L85" s="1336"/>
      <c r="M85" s="1338" t="s">
        <v>403</v>
      </c>
      <c r="N85" s="1339"/>
      <c r="O85" s="1381" t="s">
        <v>404</v>
      </c>
      <c r="P85" s="1381"/>
      <c r="Q85" s="1475">
        <v>0.19</v>
      </c>
      <c r="R85" s="1475"/>
      <c r="S85" s="1379">
        <f>S84*Q85*IF(M85="ja",1,0)</f>
        <v>0</v>
      </c>
      <c r="T85" s="1380"/>
      <c r="U85" s="227"/>
      <c r="W85" s="204"/>
      <c r="X85" s="504"/>
    </row>
    <row r="86" spans="1:24" ht="20" customHeight="1">
      <c r="A86" s="227"/>
      <c r="B86" s="254"/>
      <c r="C86" s="464">
        <v>2</v>
      </c>
      <c r="D86" s="1331" t="s">
        <v>353</v>
      </c>
      <c r="E86" s="1331"/>
      <c r="F86" s="1331"/>
      <c r="G86" s="1331"/>
      <c r="H86" s="1331"/>
      <c r="I86" s="1331"/>
      <c r="J86" s="1331"/>
      <c r="K86" s="1331"/>
      <c r="L86" s="1337"/>
      <c r="M86" s="432"/>
      <c r="N86" s="432"/>
      <c r="O86" s="1408" t="s">
        <v>349</v>
      </c>
      <c r="P86" s="1409"/>
      <c r="Q86" s="1427">
        <v>0</v>
      </c>
      <c r="R86" s="1427"/>
      <c r="S86" s="1332">
        <f>Q86</f>
        <v>0</v>
      </c>
      <c r="T86" s="1333"/>
      <c r="U86" s="227"/>
      <c r="W86" s="204"/>
      <c r="X86" s="504"/>
    </row>
    <row r="87" spans="1:24" ht="12" customHeight="1">
      <c r="A87" s="227"/>
      <c r="B87" s="254"/>
      <c r="U87" s="227"/>
      <c r="W87" s="204"/>
      <c r="X87" s="504"/>
    </row>
    <row r="88" spans="1:24" ht="24" customHeight="1" thickBot="1">
      <c r="A88" s="227"/>
      <c r="B88" s="254"/>
      <c r="C88" s="430"/>
      <c r="D88" s="1322" t="s">
        <v>354</v>
      </c>
      <c r="E88" s="1322"/>
      <c r="F88" s="1322"/>
      <c r="G88" s="1322"/>
      <c r="H88" s="1322"/>
      <c r="I88" s="1322"/>
      <c r="J88" s="1322"/>
      <c r="K88" s="1322"/>
      <c r="L88" s="1322"/>
      <c r="M88" s="430"/>
      <c r="N88" s="430"/>
      <c r="O88" s="430"/>
      <c r="P88" s="430"/>
      <c r="Q88" s="430"/>
      <c r="R88" s="430"/>
      <c r="S88" s="1320">
        <f>ROUND(SUM(S84:T86),0)</f>
        <v>0</v>
      </c>
      <c r="T88" s="1320"/>
      <c r="U88" s="227"/>
      <c r="W88" s="204"/>
      <c r="X88" s="504"/>
    </row>
    <row r="89" spans="1:24" ht="24" customHeight="1" thickBot="1">
      <c r="A89" s="227"/>
      <c r="B89" s="254"/>
      <c r="C89" s="429"/>
      <c r="D89" s="1323" t="s">
        <v>355</v>
      </c>
      <c r="E89" s="1323"/>
      <c r="F89" s="1323"/>
      <c r="G89" s="1323"/>
      <c r="H89" s="1323"/>
      <c r="I89" s="1323"/>
      <c r="J89" s="1323"/>
      <c r="K89" s="1323"/>
      <c r="L89" s="1323"/>
      <c r="M89" s="429"/>
      <c r="N89" s="429"/>
      <c r="O89" s="429"/>
      <c r="P89" s="429"/>
      <c r="Q89" s="429"/>
      <c r="R89" s="429"/>
      <c r="S89" s="1321" t="str">
        <f>IFERROR(S88/M47,"–––")</f>
        <v>–––</v>
      </c>
      <c r="T89" s="1321"/>
      <c r="U89" s="227"/>
      <c r="W89" s="204"/>
      <c r="X89" s="504"/>
    </row>
    <row r="90" spans="1:24" ht="24" customHeight="1">
      <c r="B90" s="254"/>
      <c r="C90" s="962"/>
      <c r="D90" s="1485" t="s">
        <v>860</v>
      </c>
      <c r="E90" s="1485"/>
      <c r="F90" s="1485"/>
      <c r="G90" s="1485"/>
      <c r="H90" s="1485"/>
      <c r="I90" s="1485"/>
      <c r="J90" s="1485"/>
      <c r="K90" s="1485"/>
      <c r="L90" s="1485"/>
      <c r="M90" s="963" t="s">
        <v>27</v>
      </c>
      <c r="N90" s="963" t="s">
        <v>66</v>
      </c>
      <c r="O90" s="963" t="s">
        <v>66</v>
      </c>
      <c r="P90" s="963" t="s">
        <v>66</v>
      </c>
      <c r="Q90" s="963" t="s">
        <v>66</v>
      </c>
      <c r="R90" s="963" t="s">
        <v>66</v>
      </c>
      <c r="S90" s="1486" t="str">
        <f>IFERROR(ROUND(S75/M47,0),"–––")</f>
        <v>–––</v>
      </c>
      <c r="T90" s="1486"/>
      <c r="U90" s="227"/>
      <c r="W90" s="204"/>
      <c r="X90" s="504"/>
    </row>
    <row r="91" spans="1:24" ht="12" customHeight="1" thickBot="1">
      <c r="B91" s="255"/>
      <c r="C91" s="240"/>
      <c r="D91" s="240"/>
      <c r="E91" s="240"/>
      <c r="F91" s="240"/>
      <c r="G91" s="240"/>
      <c r="H91" s="240"/>
      <c r="I91" s="240"/>
      <c r="J91" s="240"/>
      <c r="K91" s="240"/>
      <c r="L91" s="240"/>
      <c r="M91" s="240"/>
      <c r="N91" s="240"/>
      <c r="O91" s="240"/>
      <c r="P91" s="240"/>
      <c r="Q91" s="240"/>
      <c r="R91" s="240"/>
      <c r="S91" s="240"/>
      <c r="T91" s="240"/>
      <c r="U91" s="241"/>
      <c r="W91" s="204"/>
      <c r="X91" s="504"/>
    </row>
    <row r="92" spans="1:24" ht="18" customHeight="1" thickBot="1">
      <c r="B92" s="358"/>
      <c r="C92" s="358"/>
      <c r="D92" s="358"/>
      <c r="E92" s="358"/>
      <c r="F92" s="358"/>
      <c r="G92" s="358"/>
      <c r="H92" s="358"/>
      <c r="I92" s="358"/>
      <c r="J92" s="358"/>
      <c r="K92" s="358"/>
      <c r="L92" s="358"/>
      <c r="M92" s="358"/>
      <c r="N92" s="358"/>
      <c r="O92" s="358"/>
      <c r="P92" s="358"/>
      <c r="Q92" s="358"/>
      <c r="R92" s="358"/>
      <c r="S92" s="358"/>
      <c r="T92" s="358"/>
      <c r="U92" s="358"/>
      <c r="W92" s="204"/>
      <c r="X92" s="504"/>
    </row>
    <row r="93" spans="1:24" ht="32" customHeight="1">
      <c r="A93" s="227"/>
      <c r="B93" s="421"/>
      <c r="C93" s="422" t="s">
        <v>356</v>
      </c>
      <c r="D93" s="423"/>
      <c r="E93" s="423"/>
      <c r="F93" s="423"/>
      <c r="G93" s="423"/>
      <c r="H93" s="423"/>
      <c r="I93" s="423"/>
      <c r="J93" s="423"/>
      <c r="K93" s="423"/>
      <c r="L93" s="423"/>
      <c r="M93" s="423"/>
      <c r="N93" s="1436" t="s">
        <v>1065</v>
      </c>
      <c r="O93" s="1436"/>
      <c r="P93" s="1436"/>
      <c r="Q93" s="1436"/>
      <c r="R93" s="1436"/>
      <c r="S93" s="423"/>
      <c r="T93" s="423"/>
      <c r="U93" s="424"/>
      <c r="V93" s="254"/>
      <c r="W93" s="204"/>
      <c r="X93" s="504"/>
    </row>
    <row r="94" spans="1:24" ht="24" customHeight="1">
      <c r="A94" s="227"/>
      <c r="B94" s="702"/>
      <c r="C94" s="703" t="s">
        <v>357</v>
      </c>
      <c r="D94" s="426" t="s">
        <v>358</v>
      </c>
      <c r="E94" s="234"/>
      <c r="F94" s="234"/>
      <c r="G94" s="234"/>
      <c r="H94" s="234"/>
      <c r="I94" s="234"/>
      <c r="J94" s="234"/>
      <c r="K94" s="234"/>
      <c r="L94" s="234"/>
      <c r="M94" s="437" t="s">
        <v>429</v>
      </c>
      <c r="N94" s="436"/>
      <c r="O94" s="434"/>
      <c r="P94" s="435"/>
      <c r="Q94" s="437" t="s">
        <v>430</v>
      </c>
      <c r="R94" s="434"/>
      <c r="S94" s="1326" t="s">
        <v>358</v>
      </c>
      <c r="T94" s="1324"/>
      <c r="U94" s="425"/>
      <c r="W94" s="204"/>
      <c r="X94" s="504"/>
    </row>
    <row r="95" spans="1:24" ht="6" customHeight="1">
      <c r="A95" s="227"/>
      <c r="B95" s="254"/>
      <c r="U95" s="227"/>
      <c r="W95" s="204"/>
      <c r="X95" s="504"/>
    </row>
    <row r="96" spans="1:24" ht="20" customHeight="1">
      <c r="A96" s="227"/>
      <c r="B96" s="254"/>
      <c r="C96" s="462" t="s">
        <v>359</v>
      </c>
      <c r="D96" s="1471" t="s">
        <v>681</v>
      </c>
      <c r="E96" s="1471"/>
      <c r="F96" s="1471"/>
      <c r="G96" s="1471"/>
      <c r="H96" s="1471"/>
      <c r="I96" s="1471"/>
      <c r="J96" s="1471"/>
      <c r="K96" s="1471"/>
      <c r="L96" s="1471"/>
      <c r="M96" s="1423">
        <f>S88</f>
        <v>0</v>
      </c>
      <c r="N96" s="1423"/>
      <c r="O96" s="1442" t="s">
        <v>360</v>
      </c>
      <c r="P96" s="1442"/>
      <c r="Q96" s="1479"/>
      <c r="R96" s="1479"/>
      <c r="S96" s="1423">
        <f>IF(OR(M97=0,M97=""),ROUND(M96*ROUND(Q96,2),0),ROUND(M97*ROUND(Q96,2),0))</f>
        <v>0</v>
      </c>
      <c r="T96" s="1424"/>
      <c r="U96" s="227"/>
      <c r="W96" s="204"/>
      <c r="X96" s="504"/>
    </row>
    <row r="97" spans="1:24" ht="20" customHeight="1">
      <c r="A97" s="227"/>
      <c r="B97" s="254"/>
      <c r="C97" s="464" t="s">
        <v>361</v>
      </c>
      <c r="D97" s="1484" t="s">
        <v>431</v>
      </c>
      <c r="E97" s="1484"/>
      <c r="F97" s="1484"/>
      <c r="G97" s="1484"/>
      <c r="H97" s="1484"/>
      <c r="I97" s="1484"/>
      <c r="J97" s="1484"/>
      <c r="K97" s="1484"/>
      <c r="L97" s="1484"/>
      <c r="M97" s="1483"/>
      <c r="N97" s="1483"/>
      <c r="O97" s="1387"/>
      <c r="P97" s="1387"/>
      <c r="Q97" s="1480"/>
      <c r="R97" s="1480"/>
      <c r="S97" s="1332"/>
      <c r="T97" s="1333"/>
      <c r="U97" s="227"/>
      <c r="W97" s="204"/>
      <c r="X97" s="504"/>
    </row>
    <row r="98" spans="1:24" ht="20" customHeight="1">
      <c r="A98" s="227"/>
      <c r="B98" s="254"/>
      <c r="C98" s="462" t="s">
        <v>362</v>
      </c>
      <c r="D98" s="1471" t="s">
        <v>682</v>
      </c>
      <c r="E98" s="1471"/>
      <c r="F98" s="1471"/>
      <c r="G98" s="1471"/>
      <c r="H98" s="1471"/>
      <c r="I98" s="1471"/>
      <c r="J98" s="1471"/>
      <c r="K98" s="1471"/>
      <c r="L98" s="1471"/>
      <c r="M98" s="1423">
        <f>S88</f>
        <v>0</v>
      </c>
      <c r="N98" s="1423"/>
      <c r="O98" s="1442" t="s">
        <v>360</v>
      </c>
      <c r="P98" s="1442"/>
      <c r="Q98" s="1479"/>
      <c r="R98" s="1479"/>
      <c r="S98" s="1423">
        <f>IF(OR(M99=0,M99=""),ROUNDDOWN(M98*ROUNDDOWN(Q98,2),0),ROUNDDOWN(M99*ROUNDDOWN(Q98,2),0))</f>
        <v>0</v>
      </c>
      <c r="T98" s="1424"/>
      <c r="U98" s="227"/>
      <c r="W98" s="204"/>
      <c r="X98" s="504"/>
    </row>
    <row r="99" spans="1:24" ht="20" customHeight="1">
      <c r="A99" s="227"/>
      <c r="B99" s="254"/>
      <c r="C99" s="470" t="s">
        <v>363</v>
      </c>
      <c r="D99" s="1472" t="s">
        <v>431</v>
      </c>
      <c r="E99" s="1472"/>
      <c r="F99" s="1472"/>
      <c r="G99" s="1472"/>
      <c r="H99" s="1472"/>
      <c r="I99" s="1472"/>
      <c r="J99" s="1472"/>
      <c r="K99" s="1472"/>
      <c r="L99" s="1472"/>
      <c r="M99" s="1457"/>
      <c r="N99" s="1457"/>
      <c r="O99" s="1478"/>
      <c r="P99" s="1478"/>
      <c r="Q99" s="1480"/>
      <c r="R99" s="1480"/>
      <c r="S99" s="1481"/>
      <c r="T99" s="1482"/>
      <c r="U99" s="227"/>
      <c r="W99" s="204"/>
      <c r="X99" s="504"/>
    </row>
    <row r="100" spans="1:24" ht="20" customHeight="1">
      <c r="A100" s="227"/>
      <c r="B100" s="254"/>
      <c r="C100" s="471" t="s">
        <v>411</v>
      </c>
      <c r="D100" s="1459" t="s">
        <v>364</v>
      </c>
      <c r="E100" s="1459"/>
      <c r="F100" s="1459"/>
      <c r="G100" s="1459"/>
      <c r="H100" s="1459"/>
      <c r="I100" s="1459"/>
      <c r="J100" s="1459"/>
      <c r="K100" s="1459"/>
      <c r="L100" s="1460"/>
      <c r="M100" s="438"/>
      <c r="N100" s="438"/>
      <c r="O100" s="438"/>
      <c r="P100" s="438"/>
      <c r="Q100" s="472"/>
      <c r="R100" s="473" t="str">
        <f>IFERROR("Anteil der Fördermittel an den Herstellungskosten: "&amp;ROUNDUP(S100/S88*100,1)&amp;" %","")</f>
        <v/>
      </c>
      <c r="S100" s="1458">
        <f>SUM(S96:T99)</f>
        <v>0</v>
      </c>
      <c r="T100" s="1448"/>
      <c r="U100" s="227"/>
      <c r="W100" s="204"/>
      <c r="X100" s="504"/>
    </row>
    <row r="101" spans="1:24" ht="12" customHeight="1">
      <c r="A101" s="227"/>
      <c r="B101" s="236"/>
      <c r="C101" s="237"/>
      <c r="D101" s="237"/>
      <c r="E101" s="237"/>
      <c r="F101" s="237"/>
      <c r="G101" s="237"/>
      <c r="H101" s="237"/>
      <c r="I101" s="237"/>
      <c r="J101" s="237"/>
      <c r="K101" s="237"/>
      <c r="L101" s="237"/>
      <c r="M101" s="237"/>
      <c r="N101" s="237"/>
      <c r="O101" s="237"/>
      <c r="P101" s="237"/>
      <c r="Q101" s="237"/>
      <c r="R101" s="237"/>
      <c r="S101" s="237"/>
      <c r="T101" s="237"/>
      <c r="U101" s="239"/>
      <c r="W101" s="204"/>
      <c r="X101" s="504"/>
    </row>
    <row r="102" spans="1:24" ht="24" customHeight="1">
      <c r="A102" s="227"/>
      <c r="B102" s="702"/>
      <c r="C102" s="703" t="s">
        <v>370</v>
      </c>
      <c r="D102" s="426" t="s">
        <v>365</v>
      </c>
      <c r="E102" s="234"/>
      <c r="F102" s="234"/>
      <c r="G102" s="234"/>
      <c r="H102" s="234"/>
      <c r="I102" s="234"/>
      <c r="J102" s="234"/>
      <c r="K102" s="234"/>
      <c r="L102" s="234"/>
      <c r="M102" s="1324" t="s">
        <v>328</v>
      </c>
      <c r="N102" s="1325"/>
      <c r="O102" s="1326" t="s">
        <v>329</v>
      </c>
      <c r="P102" s="1325"/>
      <c r="Q102" s="1324" t="s">
        <v>330</v>
      </c>
      <c r="R102" s="1324"/>
      <c r="S102" s="1326" t="s">
        <v>399</v>
      </c>
      <c r="T102" s="1324"/>
      <c r="U102" s="427"/>
      <c r="W102" s="204"/>
      <c r="X102" s="504"/>
    </row>
    <row r="103" spans="1:24" ht="6" customHeight="1">
      <c r="A103" s="227"/>
      <c r="B103" s="254"/>
      <c r="U103" s="227"/>
      <c r="W103" s="204"/>
      <c r="X103" s="504"/>
    </row>
    <row r="104" spans="1:24" ht="20" customHeight="1">
      <c r="A104" s="227"/>
      <c r="B104" s="254"/>
      <c r="C104" s="462">
        <v>1</v>
      </c>
      <c r="D104" s="1378" t="s">
        <v>366</v>
      </c>
      <c r="E104" s="1378"/>
      <c r="F104" s="1378"/>
      <c r="G104" s="1378"/>
      <c r="H104" s="1378"/>
      <c r="I104" s="1378"/>
      <c r="J104" s="1378"/>
      <c r="K104" s="1378"/>
      <c r="L104" s="1348"/>
      <c r="M104" s="431"/>
      <c r="N104" s="431"/>
      <c r="O104" s="431"/>
      <c r="P104" s="431"/>
      <c r="Q104" s="1466" t="str">
        <f>IFERROR(S104/S88,"")</f>
        <v/>
      </c>
      <c r="R104" s="1467"/>
      <c r="S104" s="1423">
        <f>S88-S100</f>
        <v>0</v>
      </c>
      <c r="T104" s="1424"/>
      <c r="U104" s="227"/>
      <c r="W104" s="204"/>
      <c r="X104" s="504"/>
    </row>
    <row r="105" spans="1:24" ht="20" customHeight="1">
      <c r="A105" s="227"/>
      <c r="B105" s="254"/>
      <c r="C105" s="464">
        <v>2</v>
      </c>
      <c r="D105" s="1362" t="s">
        <v>367</v>
      </c>
      <c r="E105" s="1363"/>
      <c r="F105" s="1363"/>
      <c r="G105" s="1363"/>
      <c r="H105" s="1363"/>
      <c r="I105" s="1363"/>
      <c r="J105" s="1363"/>
      <c r="K105" s="1363"/>
      <c r="L105" s="1470" t="s">
        <v>453</v>
      </c>
      <c r="M105" s="1470"/>
      <c r="N105" s="1470"/>
      <c r="O105" s="1408" t="s">
        <v>349</v>
      </c>
      <c r="P105" s="1409"/>
      <c r="Q105" s="1463">
        <v>0</v>
      </c>
      <c r="R105" s="1427"/>
      <c r="S105" s="1332">
        <f>Q105</f>
        <v>0</v>
      </c>
      <c r="T105" s="1333"/>
      <c r="U105" s="227"/>
      <c r="W105" s="204"/>
      <c r="X105" s="504"/>
    </row>
    <row r="106" spans="1:24" ht="20" customHeight="1">
      <c r="A106" s="227"/>
      <c r="B106" s="254"/>
      <c r="C106" s="474"/>
      <c r="D106" s="1461" t="s">
        <v>368</v>
      </c>
      <c r="E106" s="1461"/>
      <c r="F106" s="1461"/>
      <c r="G106" s="1461"/>
      <c r="H106" s="1461"/>
      <c r="I106" s="1461"/>
      <c r="J106" s="1461"/>
      <c r="K106" s="1461"/>
      <c r="L106" s="1462"/>
      <c r="M106" s="237"/>
      <c r="N106" s="237"/>
      <c r="O106" s="237"/>
      <c r="P106" s="237"/>
      <c r="Q106" s="1468" t="str">
        <f>IFERROR(S106/S88,"")</f>
        <v/>
      </c>
      <c r="R106" s="1469"/>
      <c r="S106" s="1464">
        <f>S104-S105</f>
        <v>0</v>
      </c>
      <c r="T106" s="1465"/>
      <c r="U106" s="227"/>
      <c r="W106" s="204"/>
      <c r="X106" s="504"/>
    </row>
    <row r="107" spans="1:24" ht="12" customHeight="1">
      <c r="A107" s="227"/>
      <c r="B107" s="254"/>
      <c r="U107" s="227"/>
      <c r="W107" s="204"/>
      <c r="X107" s="504"/>
    </row>
    <row r="108" spans="1:24" ht="24" customHeight="1">
      <c r="A108" s="227"/>
      <c r="B108" s="254"/>
      <c r="C108" s="429"/>
      <c r="D108" s="1433" t="s">
        <v>418</v>
      </c>
      <c r="E108" s="1433"/>
      <c r="F108" s="1433"/>
      <c r="G108" s="1433"/>
      <c r="H108" s="1433"/>
      <c r="I108" s="1433"/>
      <c r="J108" s="1433"/>
      <c r="K108" s="1433"/>
      <c r="L108" s="1433"/>
      <c r="M108" s="429"/>
      <c r="N108" s="429"/>
      <c r="O108" s="429"/>
      <c r="P108" s="429"/>
      <c r="Q108" s="429"/>
      <c r="R108" s="429"/>
      <c r="S108" s="1444">
        <f>S100+S106+S105</f>
        <v>0</v>
      </c>
      <c r="T108" s="1444"/>
      <c r="U108" s="227"/>
      <c r="W108" s="204"/>
      <c r="X108" s="504"/>
    </row>
    <row r="109" spans="1:24" ht="12" customHeight="1" thickBot="1">
      <c r="A109" s="227"/>
      <c r="B109" s="255"/>
      <c r="C109" s="240"/>
      <c r="D109" s="240"/>
      <c r="E109" s="240"/>
      <c r="F109" s="240"/>
      <c r="G109" s="240"/>
      <c r="H109" s="240"/>
      <c r="I109" s="240"/>
      <c r="J109" s="240"/>
      <c r="K109" s="240"/>
      <c r="L109" s="240"/>
      <c r="M109" s="240"/>
      <c r="N109" s="240"/>
      <c r="O109" s="240"/>
      <c r="P109" s="240"/>
      <c r="Q109" s="240"/>
      <c r="R109" s="240"/>
      <c r="S109" s="240"/>
      <c r="T109" s="240"/>
      <c r="U109" s="241"/>
      <c r="W109" s="204"/>
      <c r="X109" s="504"/>
    </row>
    <row r="110" spans="1:24" ht="18" customHeight="1" thickBot="1">
      <c r="B110" s="358"/>
      <c r="C110" s="358"/>
      <c r="D110" s="358"/>
      <c r="E110" s="358"/>
      <c r="F110" s="358"/>
      <c r="G110" s="358"/>
      <c r="H110" s="358"/>
      <c r="I110" s="358"/>
      <c r="J110" s="358"/>
      <c r="K110" s="358"/>
      <c r="L110" s="358"/>
      <c r="M110" s="358"/>
      <c r="N110" s="358"/>
      <c r="O110" s="358"/>
      <c r="P110" s="358"/>
      <c r="Q110" s="358"/>
      <c r="R110" s="358"/>
      <c r="S110" s="358"/>
      <c r="T110" s="358"/>
      <c r="U110" s="358"/>
      <c r="W110" s="204"/>
      <c r="X110" s="504"/>
    </row>
    <row r="111" spans="1:24" ht="32" customHeight="1">
      <c r="A111" s="227"/>
      <c r="B111" s="421"/>
      <c r="C111" s="422" t="s">
        <v>369</v>
      </c>
      <c r="D111" s="423"/>
      <c r="E111" s="423"/>
      <c r="F111" s="423"/>
      <c r="G111" s="423"/>
      <c r="H111" s="423"/>
      <c r="I111" s="423"/>
      <c r="J111" s="423"/>
      <c r="K111" s="423"/>
      <c r="L111" s="423"/>
      <c r="M111" s="423"/>
      <c r="N111" s="423"/>
      <c r="O111" s="423"/>
      <c r="P111" s="423"/>
      <c r="Q111" s="423"/>
      <c r="R111" s="423"/>
      <c r="S111" s="423"/>
      <c r="T111" s="423"/>
      <c r="U111" s="424"/>
      <c r="W111" s="204"/>
      <c r="X111" s="504"/>
    </row>
    <row r="112" spans="1:24" ht="24" customHeight="1">
      <c r="A112" s="227"/>
      <c r="B112" s="702"/>
      <c r="C112" s="703" t="s">
        <v>374</v>
      </c>
      <c r="D112" s="426" t="s">
        <v>371</v>
      </c>
      <c r="E112" s="234"/>
      <c r="F112" s="234"/>
      <c r="G112" s="234"/>
      <c r="H112" s="234"/>
      <c r="I112" s="234"/>
      <c r="J112" s="234"/>
      <c r="K112" s="234"/>
      <c r="L112" s="234"/>
      <c r="M112" s="1324" t="s">
        <v>328</v>
      </c>
      <c r="N112" s="1325"/>
      <c r="O112" s="1326" t="s">
        <v>329</v>
      </c>
      <c r="P112" s="1325"/>
      <c r="Q112" s="1324" t="s">
        <v>330</v>
      </c>
      <c r="R112" s="1324"/>
      <c r="S112" s="1326" t="s">
        <v>399</v>
      </c>
      <c r="T112" s="1324"/>
      <c r="U112" s="427"/>
      <c r="W112" s="204"/>
      <c r="X112" s="504"/>
    </row>
    <row r="113" spans="1:24" ht="6" customHeight="1">
      <c r="A113" s="227"/>
      <c r="B113" s="254"/>
      <c r="U113" s="227"/>
      <c r="W113" s="204"/>
      <c r="X113" s="504"/>
    </row>
    <row r="114" spans="1:24" ht="20" customHeight="1">
      <c r="A114" s="227"/>
      <c r="B114" s="254"/>
      <c r="C114" s="462">
        <v>1</v>
      </c>
      <c r="D114" s="1378" t="s">
        <v>634</v>
      </c>
      <c r="E114" s="1378"/>
      <c r="F114" s="1378"/>
      <c r="G114" s="1378"/>
      <c r="H114" s="1378"/>
      <c r="I114" s="1378"/>
      <c r="J114" s="1378"/>
      <c r="K114" s="1378"/>
      <c r="L114" s="1378"/>
      <c r="M114" s="1423">
        <f>IF(M85=1,SUM(S55+S56+S57+S58+S62+S71)*(1+Q85),SUM(S55+S56+S57+S58+S62+S71))</f>
        <v>0</v>
      </c>
      <c r="N114" s="1423"/>
      <c r="O114" s="1442" t="s">
        <v>11</v>
      </c>
      <c r="P114" s="1442"/>
      <c r="Q114" s="1440">
        <v>1.4999999999999999E-2</v>
      </c>
      <c r="R114" s="1440"/>
      <c r="S114" s="1423">
        <f>M114*ROUND(Q114,3)</f>
        <v>0</v>
      </c>
      <c r="T114" s="1424"/>
      <c r="U114" s="227"/>
      <c r="W114" s="204"/>
      <c r="X114" s="504"/>
    </row>
    <row r="115" spans="1:24" ht="20" customHeight="1">
      <c r="A115" s="227"/>
      <c r="B115" s="254"/>
      <c r="C115" s="463">
        <v>2</v>
      </c>
      <c r="D115" s="1336" t="s">
        <v>372</v>
      </c>
      <c r="E115" s="1336"/>
      <c r="F115" s="1336"/>
      <c r="G115" s="1336"/>
      <c r="H115" s="1336"/>
      <c r="I115" s="1336"/>
      <c r="J115" s="1336"/>
      <c r="K115" s="1336"/>
      <c r="L115" s="1336"/>
      <c r="M115" s="1379">
        <f>S106</f>
        <v>0</v>
      </c>
      <c r="N115" s="1379"/>
      <c r="O115" s="1407" t="s">
        <v>412</v>
      </c>
      <c r="P115" s="1407"/>
      <c r="Q115" s="1450">
        <v>40</v>
      </c>
      <c r="R115" s="1450"/>
      <c r="S115" s="1379">
        <f>M115/Q115</f>
        <v>0</v>
      </c>
      <c r="T115" s="1380"/>
      <c r="U115" s="227"/>
      <c r="W115" s="204"/>
      <c r="X115" s="504"/>
    </row>
    <row r="116" spans="1:24" ht="20" customHeight="1">
      <c r="A116" s="227"/>
      <c r="B116" s="254"/>
      <c r="C116" s="464">
        <v>3</v>
      </c>
      <c r="D116" s="1331" t="s">
        <v>675</v>
      </c>
      <c r="E116" s="1331"/>
      <c r="F116" s="1331"/>
      <c r="G116" s="1331"/>
      <c r="H116" s="1331"/>
      <c r="I116" s="1331"/>
      <c r="J116" s="1331"/>
      <c r="K116" s="1331"/>
      <c r="L116" s="1331"/>
      <c r="M116" s="1332">
        <f>S106</f>
        <v>0</v>
      </c>
      <c r="N116" s="1332"/>
      <c r="O116" s="1409" t="s">
        <v>435</v>
      </c>
      <c r="P116" s="1409"/>
      <c r="Q116" s="1451">
        <v>0</v>
      </c>
      <c r="R116" s="1451"/>
      <c r="S116" s="1332">
        <f>M116*ROUND(Q116,4)</f>
        <v>0</v>
      </c>
      <c r="T116" s="1333"/>
      <c r="U116" s="227"/>
      <c r="W116" s="204"/>
      <c r="X116" s="504"/>
    </row>
    <row r="117" spans="1:24" ht="20" customHeight="1">
      <c r="A117" s="227"/>
      <c r="B117" s="254"/>
      <c r="C117" s="471" t="s">
        <v>704</v>
      </c>
      <c r="D117" s="1454" t="s">
        <v>373</v>
      </c>
      <c r="E117" s="1455"/>
      <c r="F117" s="1455"/>
      <c r="G117" s="1455"/>
      <c r="H117" s="1455"/>
      <c r="I117" s="1455"/>
      <c r="J117" s="1455"/>
      <c r="K117" s="1455"/>
      <c r="L117" s="1456"/>
      <c r="M117" s="438"/>
      <c r="N117" s="438"/>
      <c r="O117" s="438"/>
      <c r="P117" s="438"/>
      <c r="Q117" s="438"/>
      <c r="R117" s="438"/>
      <c r="S117" s="1448">
        <f>SUM(S114:T116)</f>
        <v>0</v>
      </c>
      <c r="T117" s="1449"/>
      <c r="U117" s="227"/>
      <c r="W117" s="204"/>
      <c r="X117" s="504"/>
    </row>
    <row r="118" spans="1:24" ht="12" customHeight="1">
      <c r="A118" s="227"/>
      <c r="B118" s="236"/>
      <c r="C118" s="237"/>
      <c r="D118" s="237"/>
      <c r="E118" s="237"/>
      <c r="F118" s="237"/>
      <c r="G118" s="237"/>
      <c r="H118" s="237"/>
      <c r="I118" s="237"/>
      <c r="J118" s="237"/>
      <c r="K118" s="237"/>
      <c r="L118" s="237"/>
      <c r="M118" s="237"/>
      <c r="N118" s="237"/>
      <c r="O118" s="237"/>
      <c r="P118" s="237"/>
      <c r="Q118" s="237"/>
      <c r="R118" s="237"/>
      <c r="S118" s="237"/>
      <c r="T118" s="237"/>
      <c r="U118" s="239"/>
      <c r="W118" s="204"/>
      <c r="X118" s="504"/>
    </row>
    <row r="119" spans="1:24" ht="24" customHeight="1">
      <c r="A119" s="227"/>
      <c r="B119" s="702"/>
      <c r="C119" s="703" t="s">
        <v>434</v>
      </c>
      <c r="D119" s="426" t="s">
        <v>375</v>
      </c>
      <c r="E119" s="234"/>
      <c r="F119" s="234"/>
      <c r="G119" s="234"/>
      <c r="H119" s="234"/>
      <c r="I119" s="234"/>
      <c r="J119" s="234"/>
      <c r="K119" s="234"/>
      <c r="L119" s="234"/>
      <c r="M119" s="1324" t="s">
        <v>328</v>
      </c>
      <c r="N119" s="1325"/>
      <c r="O119" s="1326" t="s">
        <v>329</v>
      </c>
      <c r="P119" s="1325"/>
      <c r="Q119" s="1324" t="s">
        <v>330</v>
      </c>
      <c r="R119" s="1324"/>
      <c r="S119" s="1326" t="s">
        <v>399</v>
      </c>
      <c r="T119" s="1324"/>
      <c r="U119" s="427"/>
      <c r="W119" s="204"/>
      <c r="X119" s="504"/>
    </row>
    <row r="120" spans="1:24" ht="6" customHeight="1">
      <c r="A120" s="227"/>
      <c r="B120" s="254"/>
      <c r="U120" s="227"/>
      <c r="W120" s="204"/>
      <c r="X120" s="504"/>
    </row>
    <row r="121" spans="1:24" ht="20" customHeight="1">
      <c r="A121" s="227"/>
      <c r="B121" s="254"/>
      <c r="C121" s="462">
        <v>1</v>
      </c>
      <c r="D121" s="1378" t="s">
        <v>771</v>
      </c>
      <c r="E121" s="1378"/>
      <c r="F121" s="1378"/>
      <c r="G121" s="1378"/>
      <c r="H121" s="1378"/>
      <c r="I121" s="1378"/>
      <c r="J121" s="1378"/>
      <c r="K121" s="1378"/>
      <c r="L121" s="1378"/>
      <c r="M121" s="1452">
        <f>IF(M68&lt;&gt;"",M68,IF(ISNUMBER(L68),L68,0))</f>
        <v>0</v>
      </c>
      <c r="N121" s="1452"/>
      <c r="O121" s="1361" t="s">
        <v>770</v>
      </c>
      <c r="P121" s="1361"/>
      <c r="Q121" s="1447">
        <v>0.36</v>
      </c>
      <c r="R121" s="1447"/>
      <c r="S121" s="1423">
        <f>M121*2.22*Q121*12*365/1000</f>
        <v>0</v>
      </c>
      <c r="T121" s="1424"/>
      <c r="U121" s="227"/>
      <c r="W121" s="204"/>
      <c r="X121" s="504"/>
    </row>
    <row r="122" spans="1:24" ht="20" customHeight="1">
      <c r="A122" s="227"/>
      <c r="B122" s="254"/>
      <c r="C122" s="463">
        <v>2</v>
      </c>
      <c r="D122" s="1336" t="s">
        <v>1072</v>
      </c>
      <c r="E122" s="1336"/>
      <c r="F122" s="1336"/>
      <c r="G122" s="1336"/>
      <c r="H122" s="1336"/>
      <c r="I122" s="1336"/>
      <c r="J122" s="1336"/>
      <c r="K122" s="1336"/>
      <c r="L122" s="1336"/>
      <c r="M122" s="1453">
        <v>0</v>
      </c>
      <c r="N122" s="1453"/>
      <c r="O122" s="1407" t="s">
        <v>376</v>
      </c>
      <c r="P122" s="1407"/>
      <c r="Q122" s="1428">
        <v>4</v>
      </c>
      <c r="R122" s="1428"/>
      <c r="S122" s="1379">
        <f>M122*Q122*12</f>
        <v>0</v>
      </c>
      <c r="T122" s="1380"/>
      <c r="U122" s="227"/>
      <c r="W122" s="204"/>
      <c r="X122" s="504"/>
    </row>
    <row r="123" spans="1:24" ht="20" customHeight="1">
      <c r="A123" s="227"/>
      <c r="B123" s="254"/>
      <c r="C123" s="464">
        <v>3</v>
      </c>
      <c r="D123" s="1331" t="s">
        <v>377</v>
      </c>
      <c r="E123" s="1331"/>
      <c r="F123" s="1331"/>
      <c r="G123" s="1331"/>
      <c r="H123" s="1331"/>
      <c r="I123" s="1331"/>
      <c r="J123" s="1331"/>
      <c r="K123" s="1331"/>
      <c r="L123" s="1337"/>
      <c r="M123" s="475"/>
      <c r="N123" s="432"/>
      <c r="O123" s="1408" t="s">
        <v>349</v>
      </c>
      <c r="P123" s="1409"/>
      <c r="Q123" s="1427">
        <v>0</v>
      </c>
      <c r="R123" s="1427"/>
      <c r="S123" s="1332">
        <f>Q123</f>
        <v>0</v>
      </c>
      <c r="T123" s="1333"/>
      <c r="U123" s="227"/>
      <c r="W123" s="204"/>
      <c r="X123" s="504"/>
    </row>
    <row r="124" spans="1:24" ht="12" customHeight="1">
      <c r="A124" s="227"/>
      <c r="B124" s="236"/>
      <c r="C124" s="237"/>
      <c r="D124" s="237"/>
      <c r="E124" s="237"/>
      <c r="F124" s="237"/>
      <c r="G124" s="237"/>
      <c r="H124" s="237"/>
      <c r="I124" s="237"/>
      <c r="J124" s="237"/>
      <c r="K124" s="237"/>
      <c r="L124" s="237"/>
      <c r="M124" s="237"/>
      <c r="N124" s="237"/>
      <c r="O124" s="237"/>
      <c r="P124" s="237"/>
      <c r="Q124" s="237"/>
      <c r="R124" s="237"/>
      <c r="S124" s="237"/>
      <c r="T124" s="237"/>
      <c r="U124" s="239"/>
      <c r="W124" s="204"/>
      <c r="X124" s="504"/>
    </row>
    <row r="125" spans="1:24" ht="24" customHeight="1">
      <c r="A125" s="227"/>
      <c r="B125" s="702"/>
      <c r="C125" s="703" t="s">
        <v>378</v>
      </c>
      <c r="D125" s="426" t="s">
        <v>379</v>
      </c>
      <c r="E125" s="234"/>
      <c r="F125" s="234"/>
      <c r="G125" s="234"/>
      <c r="H125" s="234"/>
      <c r="I125" s="234"/>
      <c r="J125" s="234"/>
      <c r="K125" s="234"/>
      <c r="L125" s="234"/>
      <c r="M125" s="1324" t="s">
        <v>328</v>
      </c>
      <c r="N125" s="1325"/>
      <c r="O125" s="1326" t="s">
        <v>329</v>
      </c>
      <c r="P125" s="1325"/>
      <c r="Q125" s="1324" t="s">
        <v>330</v>
      </c>
      <c r="R125" s="1324"/>
      <c r="S125" s="1326" t="s">
        <v>399</v>
      </c>
      <c r="T125" s="1324"/>
      <c r="U125" s="427"/>
      <c r="W125" s="204"/>
      <c r="X125" s="504"/>
    </row>
    <row r="126" spans="1:24" ht="6" customHeight="1">
      <c r="A126" s="227"/>
      <c r="B126" s="254"/>
      <c r="U126" s="227"/>
      <c r="W126" s="204"/>
      <c r="X126" s="504"/>
    </row>
    <row r="127" spans="1:24" ht="20" customHeight="1">
      <c r="A127" s="227"/>
      <c r="B127" s="254"/>
      <c r="C127" s="462">
        <v>1</v>
      </c>
      <c r="D127" s="1378" t="s">
        <v>713</v>
      </c>
      <c r="E127" s="1378"/>
      <c r="F127" s="1378"/>
      <c r="G127" s="1378"/>
      <c r="H127" s="1378"/>
      <c r="I127" s="1378"/>
      <c r="J127" s="1378"/>
      <c r="K127" s="1378"/>
      <c r="L127" s="1378"/>
      <c r="M127" s="1423">
        <f>S47+SUM(S66:T70)</f>
        <v>0</v>
      </c>
      <c r="N127" s="1423"/>
      <c r="O127" s="1442" t="s">
        <v>11</v>
      </c>
      <c r="P127" s="1442"/>
      <c r="Q127" s="1440">
        <v>0.03</v>
      </c>
      <c r="R127" s="1440"/>
      <c r="S127" s="1423">
        <f>M127*ROUND(Q127,3)</f>
        <v>0</v>
      </c>
      <c r="T127" s="1424"/>
      <c r="U127" s="227"/>
      <c r="W127" s="204"/>
      <c r="X127" s="504"/>
    </row>
    <row r="128" spans="1:24" ht="20" customHeight="1">
      <c r="A128" s="227"/>
      <c r="B128" s="254"/>
      <c r="C128" s="463">
        <v>2</v>
      </c>
      <c r="D128" s="1336" t="s">
        <v>380</v>
      </c>
      <c r="E128" s="1336"/>
      <c r="F128" s="1336"/>
      <c r="G128" s="1336"/>
      <c r="H128" s="1336"/>
      <c r="I128" s="1336"/>
      <c r="J128" s="1336"/>
      <c r="K128" s="1336"/>
      <c r="L128" s="1351"/>
      <c r="M128" s="428"/>
      <c r="N128" s="428"/>
      <c r="O128" s="1406" t="s">
        <v>349</v>
      </c>
      <c r="P128" s="1407"/>
      <c r="Q128" s="1426">
        <v>0</v>
      </c>
      <c r="R128" s="1426"/>
      <c r="S128" s="1379">
        <f>Q128</f>
        <v>0</v>
      </c>
      <c r="T128" s="1380"/>
      <c r="U128" s="227"/>
      <c r="W128" s="204"/>
      <c r="X128" s="504"/>
    </row>
    <row r="129" spans="1:24" ht="20" customHeight="1">
      <c r="A129" s="227"/>
      <c r="B129" s="254"/>
      <c r="C129" s="463">
        <v>3</v>
      </c>
      <c r="D129" s="1336" t="s">
        <v>381</v>
      </c>
      <c r="E129" s="1336"/>
      <c r="F129" s="1336"/>
      <c r="G129" s="1336"/>
      <c r="H129" s="1336"/>
      <c r="I129" s="1336"/>
      <c r="J129" s="1336"/>
      <c r="K129" s="1336"/>
      <c r="L129" s="1336"/>
      <c r="M129" s="1437">
        <v>0</v>
      </c>
      <c r="N129" s="1437"/>
      <c r="O129" s="1443" t="s">
        <v>413</v>
      </c>
      <c r="P129" s="1443"/>
      <c r="Q129" s="1441">
        <v>40000</v>
      </c>
      <c r="R129" s="1441"/>
      <c r="S129" s="1379">
        <f>M129*Q129</f>
        <v>0</v>
      </c>
      <c r="T129" s="1380"/>
      <c r="U129" s="227"/>
      <c r="W129" s="204"/>
      <c r="X129" s="504"/>
    </row>
    <row r="130" spans="1:24" ht="20" customHeight="1">
      <c r="A130" s="227"/>
      <c r="B130" s="254"/>
      <c r="C130" s="463">
        <v>4</v>
      </c>
      <c r="D130" s="1336" t="s">
        <v>382</v>
      </c>
      <c r="E130" s="1336"/>
      <c r="F130" s="1336"/>
      <c r="G130" s="1336"/>
      <c r="H130" s="1336"/>
      <c r="I130" s="1336"/>
      <c r="J130" s="1336"/>
      <c r="K130" s="1336"/>
      <c r="L130" s="1336"/>
      <c r="M130" s="1437">
        <v>0</v>
      </c>
      <c r="N130" s="1437"/>
      <c r="O130" s="1443" t="s">
        <v>413</v>
      </c>
      <c r="P130" s="1443"/>
      <c r="Q130" s="1441">
        <v>50000</v>
      </c>
      <c r="R130" s="1441"/>
      <c r="S130" s="1379">
        <f>M130*Q130</f>
        <v>0</v>
      </c>
      <c r="T130" s="1380"/>
      <c r="U130" s="227"/>
      <c r="W130" s="204"/>
      <c r="X130" s="504"/>
    </row>
    <row r="131" spans="1:24" ht="20" customHeight="1">
      <c r="A131" s="227"/>
      <c r="B131" s="254"/>
      <c r="C131" s="463">
        <v>5</v>
      </c>
      <c r="D131" s="1336" t="s">
        <v>383</v>
      </c>
      <c r="E131" s="1336"/>
      <c r="F131" s="1336"/>
      <c r="G131" s="1336"/>
      <c r="H131" s="1336"/>
      <c r="I131" s="1336"/>
      <c r="J131" s="1336"/>
      <c r="K131" s="1336"/>
      <c r="L131" s="1351"/>
      <c r="M131" s="428"/>
      <c r="N131" s="428"/>
      <c r="O131" s="1406" t="s">
        <v>349</v>
      </c>
      <c r="P131" s="1407"/>
      <c r="Q131" s="1426">
        <v>0</v>
      </c>
      <c r="R131" s="1426"/>
      <c r="S131" s="1379">
        <f>Q131</f>
        <v>0</v>
      </c>
      <c r="T131" s="1380"/>
      <c r="U131" s="227"/>
      <c r="W131" s="204"/>
      <c r="X131" s="504"/>
    </row>
    <row r="132" spans="1:24" ht="20" customHeight="1">
      <c r="A132" s="227"/>
      <c r="B132" s="254"/>
      <c r="C132" s="464" t="s">
        <v>703</v>
      </c>
      <c r="D132" s="1431" t="s">
        <v>384</v>
      </c>
      <c r="E132" s="1431"/>
      <c r="F132" s="1431"/>
      <c r="G132" s="1431"/>
      <c r="H132" s="1431"/>
      <c r="I132" s="1431"/>
      <c r="J132" s="1431"/>
      <c r="K132" s="1431"/>
      <c r="L132" s="1432"/>
      <c r="M132" s="432"/>
      <c r="N132" s="432"/>
      <c r="O132" s="432"/>
      <c r="P132" s="432"/>
      <c r="Q132" s="432"/>
      <c r="R132" s="439"/>
      <c r="S132" s="1445">
        <f>SUM(S121:T123,S127:T131)</f>
        <v>0</v>
      </c>
      <c r="T132" s="1446"/>
      <c r="U132" s="227"/>
      <c r="W132" s="204"/>
      <c r="X132" s="504"/>
    </row>
    <row r="133" spans="1:24" ht="12" customHeight="1">
      <c r="A133" s="227"/>
      <c r="B133" s="254"/>
      <c r="U133" s="227"/>
      <c r="W133" s="204"/>
      <c r="X133" s="504"/>
    </row>
    <row r="134" spans="1:24" ht="24" customHeight="1">
      <c r="A134" s="227"/>
      <c r="B134" s="254"/>
      <c r="C134" s="429"/>
      <c r="D134" s="1433" t="s">
        <v>419</v>
      </c>
      <c r="E134" s="1433"/>
      <c r="F134" s="1433"/>
      <c r="G134" s="1433"/>
      <c r="H134" s="1433"/>
      <c r="I134" s="1433"/>
      <c r="J134" s="1433"/>
      <c r="K134" s="1433"/>
      <c r="L134" s="1433"/>
      <c r="M134" s="429"/>
      <c r="N134" s="429"/>
      <c r="O134" s="429"/>
      <c r="P134" s="429"/>
      <c r="Q134" s="429"/>
      <c r="R134" s="429"/>
      <c r="S134" s="1444">
        <f>S117+S132</f>
        <v>0</v>
      </c>
      <c r="T134" s="1444"/>
      <c r="U134" s="227"/>
      <c r="W134" s="204"/>
      <c r="X134" s="504"/>
    </row>
    <row r="135" spans="1:24" ht="12" customHeight="1" thickBot="1">
      <c r="A135" s="227"/>
      <c r="B135" s="255"/>
      <c r="C135" s="240"/>
      <c r="D135" s="240"/>
      <c r="E135" s="240"/>
      <c r="F135" s="240"/>
      <c r="G135" s="240"/>
      <c r="H135" s="240"/>
      <c r="I135" s="240"/>
      <c r="J135" s="240"/>
      <c r="K135" s="240"/>
      <c r="L135" s="240"/>
      <c r="M135" s="240"/>
      <c r="N135" s="240"/>
      <c r="O135" s="240"/>
      <c r="P135" s="240"/>
      <c r="Q135" s="240"/>
      <c r="R135" s="240"/>
      <c r="S135" s="240"/>
      <c r="T135" s="240"/>
      <c r="U135" s="241"/>
      <c r="W135" s="204"/>
      <c r="X135" s="504"/>
    </row>
    <row r="136" spans="1:24" ht="18" customHeight="1" thickBot="1">
      <c r="B136" s="358"/>
      <c r="C136" s="358"/>
      <c r="D136" s="358"/>
      <c r="E136" s="358"/>
      <c r="F136" s="358"/>
      <c r="G136" s="358"/>
      <c r="H136" s="358"/>
      <c r="I136" s="358"/>
      <c r="J136" s="358"/>
      <c r="K136" s="358"/>
      <c r="L136" s="358"/>
      <c r="M136" s="358"/>
      <c r="N136" s="358"/>
      <c r="O136" s="358"/>
      <c r="P136" s="358"/>
      <c r="Q136" s="358"/>
      <c r="R136" s="358"/>
      <c r="S136" s="358"/>
      <c r="T136" s="358"/>
      <c r="U136" s="358"/>
      <c r="W136" s="204"/>
      <c r="X136" s="504"/>
    </row>
    <row r="137" spans="1:24" ht="32" customHeight="1">
      <c r="A137" s="227"/>
      <c r="B137" s="421"/>
      <c r="C137" s="422" t="s">
        <v>385</v>
      </c>
      <c r="D137" s="423"/>
      <c r="E137" s="423"/>
      <c r="F137" s="423"/>
      <c r="G137" s="423"/>
      <c r="H137" s="423"/>
      <c r="I137" s="423"/>
      <c r="J137" s="1436" t="s">
        <v>438</v>
      </c>
      <c r="K137" s="1436"/>
      <c r="L137" s="1436"/>
      <c r="M137" s="1436"/>
      <c r="N137" s="1436"/>
      <c r="O137" s="423"/>
      <c r="P137" s="423"/>
      <c r="Q137" s="423"/>
      <c r="R137" s="423"/>
      <c r="S137" s="423"/>
      <c r="T137" s="423"/>
      <c r="U137" s="424"/>
      <c r="W137" s="204"/>
      <c r="X137" s="504"/>
    </row>
    <row r="138" spans="1:24" ht="24" customHeight="1">
      <c r="A138" s="227"/>
      <c r="B138" s="702"/>
      <c r="C138" s="703" t="s">
        <v>386</v>
      </c>
      <c r="D138" s="426" t="s">
        <v>733</v>
      </c>
      <c r="E138" s="234"/>
      <c r="F138" s="234"/>
      <c r="G138" s="234"/>
      <c r="H138" s="234"/>
      <c r="I138" s="234"/>
      <c r="J138" s="234"/>
      <c r="K138" s="234"/>
      <c r="L138" s="234"/>
      <c r="M138" s="1324" t="s">
        <v>328</v>
      </c>
      <c r="N138" s="1325"/>
      <c r="O138" s="1326" t="s">
        <v>329</v>
      </c>
      <c r="P138" s="1325"/>
      <c r="Q138" s="1324" t="s">
        <v>330</v>
      </c>
      <c r="R138" s="1324"/>
      <c r="S138" s="1326" t="s">
        <v>399</v>
      </c>
      <c r="T138" s="1324"/>
      <c r="U138" s="427"/>
      <c r="W138" s="204"/>
      <c r="X138" s="504"/>
    </row>
    <row r="139" spans="1:24" ht="6" customHeight="1">
      <c r="A139" s="227"/>
      <c r="B139" s="254"/>
      <c r="U139" s="227"/>
      <c r="W139" s="204"/>
      <c r="X139" s="504"/>
    </row>
    <row r="140" spans="1:24" ht="20" customHeight="1">
      <c r="A140" s="227"/>
      <c r="B140" s="254"/>
      <c r="C140" s="894">
        <v>0</v>
      </c>
      <c r="D140" s="1370" t="s">
        <v>712</v>
      </c>
      <c r="E140" s="1371"/>
      <c r="F140" s="1371"/>
      <c r="G140" s="1371"/>
      <c r="H140" s="1371"/>
      <c r="I140" s="1434" t="str">
        <f>"noch "&amp;IF(M140-(SUM(M141:N143))&gt;1,TEXT(M140-(SUM(M141:N143)),"#.###")&amp;" Stellplätze können verteilt werden ↘",M140-(SUM(M141:N143))&amp;" Stellplatz kann verteilt werden ↘")</f>
        <v>noch 0 Stellplatz kann verteilt werden ↘</v>
      </c>
      <c r="J140" s="1434"/>
      <c r="K140" s="1434"/>
      <c r="L140" s="1435"/>
      <c r="M140" s="1430">
        <f>M51</f>
        <v>0</v>
      </c>
      <c r="N140" s="1430"/>
      <c r="O140" s="440"/>
      <c r="P140" s="431"/>
      <c r="Q140" s="431"/>
      <c r="R140" s="431"/>
      <c r="S140" s="431"/>
      <c r="T140" s="441"/>
      <c r="U140" s="227"/>
      <c r="W140" s="204"/>
      <c r="X140" s="504"/>
    </row>
    <row r="141" spans="1:24" ht="20" customHeight="1">
      <c r="A141" s="227"/>
      <c r="B141" s="254"/>
      <c r="C141" s="463">
        <v>1</v>
      </c>
      <c r="D141" s="1372" t="s">
        <v>387</v>
      </c>
      <c r="E141" s="1373"/>
      <c r="F141" s="1373"/>
      <c r="G141" s="1373"/>
      <c r="H141" s="1373"/>
      <c r="I141" s="1373"/>
      <c r="J141" s="1373"/>
      <c r="K141" s="1374" t="s">
        <v>436</v>
      </c>
      <c r="L141" s="1375"/>
      <c r="M141" s="1437">
        <v>0</v>
      </c>
      <c r="N141" s="1437"/>
      <c r="O141" s="1381" t="s">
        <v>420</v>
      </c>
      <c r="P141" s="1381"/>
      <c r="Q141" s="1428">
        <v>90</v>
      </c>
      <c r="R141" s="1428"/>
      <c r="S141" s="1379">
        <f>M141*ROUND(Q141,2)</f>
        <v>0</v>
      </c>
      <c r="T141" s="1380"/>
      <c r="U141" s="227"/>
      <c r="W141" s="204"/>
      <c r="X141" s="504"/>
    </row>
    <row r="142" spans="1:24" ht="20" customHeight="1">
      <c r="A142" s="227"/>
      <c r="B142" s="254"/>
      <c r="C142" s="463">
        <v>2</v>
      </c>
      <c r="D142" s="1372" t="s">
        <v>388</v>
      </c>
      <c r="E142" s="1373"/>
      <c r="F142" s="1373"/>
      <c r="G142" s="1373"/>
      <c r="H142" s="1373"/>
      <c r="I142" s="1373"/>
      <c r="J142" s="1373"/>
      <c r="K142" s="1374" t="s">
        <v>436</v>
      </c>
      <c r="L142" s="1375"/>
      <c r="M142" s="1437">
        <v>0</v>
      </c>
      <c r="N142" s="1437"/>
      <c r="O142" s="1381" t="s">
        <v>420</v>
      </c>
      <c r="P142" s="1381"/>
      <c r="Q142" s="1428">
        <v>10</v>
      </c>
      <c r="R142" s="1428"/>
      <c r="S142" s="1379">
        <f>M142*ROUND(Q142,2)*12</f>
        <v>0</v>
      </c>
      <c r="T142" s="1380"/>
      <c r="U142" s="227"/>
      <c r="W142" s="204"/>
      <c r="X142" s="504"/>
    </row>
    <row r="143" spans="1:24" ht="20" customHeight="1">
      <c r="A143" s="227"/>
      <c r="B143" s="254"/>
      <c r="C143" s="464">
        <v>3</v>
      </c>
      <c r="D143" s="1362" t="s">
        <v>389</v>
      </c>
      <c r="E143" s="1363"/>
      <c r="F143" s="1363"/>
      <c r="G143" s="1363"/>
      <c r="H143" s="1363"/>
      <c r="I143" s="1363"/>
      <c r="J143" s="1363"/>
      <c r="K143" s="1376" t="s">
        <v>436</v>
      </c>
      <c r="L143" s="1377"/>
      <c r="M143" s="1411">
        <v>0</v>
      </c>
      <c r="N143" s="1411"/>
      <c r="O143" s="1438" t="s">
        <v>420</v>
      </c>
      <c r="P143" s="1439"/>
      <c r="Q143" s="1429">
        <v>1</v>
      </c>
      <c r="R143" s="1429"/>
      <c r="S143" s="1332">
        <f>M143*ROUND(Q143,2)*220</f>
        <v>0</v>
      </c>
      <c r="T143" s="1333"/>
      <c r="U143" s="227"/>
      <c r="W143" s="204"/>
      <c r="X143" s="504"/>
    </row>
    <row r="144" spans="1:24" ht="12" customHeight="1">
      <c r="A144" s="227"/>
      <c r="B144" s="236"/>
      <c r="C144" s="237"/>
      <c r="D144" s="237"/>
      <c r="E144" s="237"/>
      <c r="F144" s="237"/>
      <c r="G144" s="237"/>
      <c r="H144" s="237"/>
      <c r="I144" s="237"/>
      <c r="J144" s="237"/>
      <c r="K144" s="438"/>
      <c r="L144" s="438"/>
      <c r="M144" s="438"/>
      <c r="N144" s="438"/>
      <c r="O144" s="438"/>
      <c r="P144" s="237"/>
      <c r="Q144" s="237"/>
      <c r="R144" s="237"/>
      <c r="S144" s="237"/>
      <c r="T144" s="237"/>
      <c r="U144" s="239"/>
      <c r="W144" s="204"/>
      <c r="X144" s="504"/>
    </row>
    <row r="145" spans="1:24" ht="24" customHeight="1">
      <c r="A145" s="227"/>
      <c r="B145" s="702"/>
      <c r="C145" s="703" t="s">
        <v>390</v>
      </c>
      <c r="D145" s="426" t="s">
        <v>391</v>
      </c>
      <c r="E145" s="234"/>
      <c r="F145" s="234"/>
      <c r="G145" s="234"/>
      <c r="H145" s="234"/>
      <c r="I145" s="234"/>
      <c r="J145" s="234"/>
      <c r="K145" s="234"/>
      <c r="L145" s="234"/>
      <c r="M145" s="1324" t="s">
        <v>328</v>
      </c>
      <c r="N145" s="1325"/>
      <c r="O145" s="1326" t="s">
        <v>329</v>
      </c>
      <c r="P145" s="1325"/>
      <c r="Q145" s="1324" t="s">
        <v>330</v>
      </c>
      <c r="R145" s="1324"/>
      <c r="S145" s="1326" t="s">
        <v>399</v>
      </c>
      <c r="T145" s="1324"/>
      <c r="U145" s="427"/>
      <c r="W145" s="204"/>
      <c r="X145" s="504"/>
    </row>
    <row r="146" spans="1:24" ht="6" customHeight="1">
      <c r="A146" s="227"/>
      <c r="B146" s="254"/>
      <c r="U146" s="227"/>
      <c r="W146" s="204"/>
      <c r="X146" s="504"/>
    </row>
    <row r="147" spans="1:24" ht="20" customHeight="1">
      <c r="A147" s="227"/>
      <c r="B147" s="254"/>
      <c r="C147" s="462">
        <v>1</v>
      </c>
      <c r="D147" s="1378" t="s">
        <v>392</v>
      </c>
      <c r="E147" s="1378"/>
      <c r="F147" s="1378"/>
      <c r="G147" s="1378"/>
      <c r="H147" s="1378"/>
      <c r="I147" s="1378"/>
      <c r="J147" s="1378"/>
      <c r="K147" s="1378"/>
      <c r="L147" s="1378"/>
      <c r="M147" s="1410">
        <v>0</v>
      </c>
      <c r="N147" s="1410"/>
      <c r="O147" s="1361" t="s">
        <v>437</v>
      </c>
      <c r="P147" s="1361"/>
      <c r="Q147" s="1425">
        <v>0</v>
      </c>
      <c r="R147" s="1425"/>
      <c r="S147" s="1423">
        <f>M147*ROUND(Q147,2)*12</f>
        <v>0</v>
      </c>
      <c r="T147" s="1424"/>
      <c r="U147" s="227"/>
      <c r="W147" s="204"/>
      <c r="X147" s="504"/>
    </row>
    <row r="148" spans="1:24" ht="20" customHeight="1">
      <c r="A148" s="227"/>
      <c r="B148" s="254"/>
      <c r="C148" s="463">
        <v>2</v>
      </c>
      <c r="D148" s="1336" t="s">
        <v>393</v>
      </c>
      <c r="E148" s="1336"/>
      <c r="F148" s="1336"/>
      <c r="G148" s="1336"/>
      <c r="H148" s="1336"/>
      <c r="I148" s="1336"/>
      <c r="J148" s="1336"/>
      <c r="K148" s="1336"/>
      <c r="L148" s="1351"/>
      <c r="M148" s="476"/>
      <c r="N148" s="428"/>
      <c r="O148" s="1406" t="s">
        <v>414</v>
      </c>
      <c r="P148" s="1407"/>
      <c r="Q148" s="1426">
        <v>0</v>
      </c>
      <c r="R148" s="1426"/>
      <c r="S148" s="1379">
        <f>Q148</f>
        <v>0</v>
      </c>
      <c r="T148" s="1380"/>
      <c r="U148" s="227"/>
      <c r="W148" s="204"/>
      <c r="X148" s="504"/>
    </row>
    <row r="149" spans="1:24" ht="20" customHeight="1">
      <c r="A149" s="227"/>
      <c r="B149" s="254"/>
      <c r="C149" s="464">
        <v>3</v>
      </c>
      <c r="D149" s="1331" t="s">
        <v>395</v>
      </c>
      <c r="E149" s="1331"/>
      <c r="F149" s="1331"/>
      <c r="G149" s="1331"/>
      <c r="H149" s="1331"/>
      <c r="I149" s="1331"/>
      <c r="J149" s="1331"/>
      <c r="K149" s="1331"/>
      <c r="L149" s="1337"/>
      <c r="M149" s="475"/>
      <c r="N149" s="432"/>
      <c r="O149" s="1408" t="s">
        <v>414</v>
      </c>
      <c r="P149" s="1409"/>
      <c r="Q149" s="1427">
        <v>0</v>
      </c>
      <c r="R149" s="1427"/>
      <c r="S149" s="1332">
        <f>Q149</f>
        <v>0</v>
      </c>
      <c r="T149" s="1333"/>
      <c r="U149" s="227"/>
      <c r="W149" s="204"/>
      <c r="X149" s="504"/>
    </row>
    <row r="150" spans="1:24" ht="12" customHeight="1">
      <c r="A150" s="227"/>
      <c r="B150" s="254"/>
      <c r="U150" s="227"/>
      <c r="W150" s="204"/>
      <c r="X150" s="504"/>
    </row>
    <row r="151" spans="1:24" ht="24" customHeight="1" thickBot="1">
      <c r="A151" s="227"/>
      <c r="B151" s="254"/>
      <c r="C151" s="430"/>
      <c r="D151" s="1322" t="s">
        <v>421</v>
      </c>
      <c r="E151" s="1322"/>
      <c r="F151" s="1322"/>
      <c r="G151" s="1322"/>
      <c r="H151" s="1322"/>
      <c r="I151" s="1322"/>
      <c r="J151" s="1322"/>
      <c r="K151" s="1322"/>
      <c r="L151" s="1322"/>
      <c r="M151" s="430"/>
      <c r="N151" s="430"/>
      <c r="O151" s="430"/>
      <c r="P151" s="430"/>
      <c r="Q151" s="430"/>
      <c r="R151" s="455" t="str">
        <f>IFERROR("Anteil an jährlichen Kosten: "&amp;ROUND((S151/S134)*100,1)&amp;" %","")</f>
        <v/>
      </c>
      <c r="S151" s="1320">
        <f>SUM(S141:T143,S147:T149)</f>
        <v>0</v>
      </c>
      <c r="T151" s="1320"/>
      <c r="U151" s="227"/>
      <c r="W151" s="204"/>
      <c r="X151" s="504"/>
    </row>
    <row r="152" spans="1:24" ht="12" customHeight="1" thickBot="1">
      <c r="A152" s="227"/>
      <c r="B152" s="255"/>
      <c r="C152" s="240"/>
      <c r="D152" s="240"/>
      <c r="E152" s="240"/>
      <c r="F152" s="240"/>
      <c r="G152" s="240"/>
      <c r="H152" s="240"/>
      <c r="I152" s="240"/>
      <c r="J152" s="240"/>
      <c r="K152" s="240"/>
      <c r="L152" s="240"/>
      <c r="M152" s="240"/>
      <c r="N152" s="240"/>
      <c r="O152" s="240"/>
      <c r="P152" s="240"/>
      <c r="Q152" s="240"/>
      <c r="R152" s="240"/>
      <c r="S152" s="240"/>
      <c r="T152" s="240"/>
      <c r="U152" s="241"/>
      <c r="W152" s="204"/>
      <c r="X152" s="504"/>
    </row>
    <row r="153" spans="1:24" ht="18" customHeight="1" thickBot="1">
      <c r="W153" s="204"/>
      <c r="X153" s="504"/>
    </row>
    <row r="154" spans="1:24" ht="32" customHeight="1" thickBot="1">
      <c r="B154" s="446"/>
      <c r="C154" s="447" t="s">
        <v>424</v>
      </c>
      <c r="D154" s="448"/>
      <c r="E154" s="448"/>
      <c r="F154" s="448"/>
      <c r="G154" s="448"/>
      <c r="H154" s="448"/>
      <c r="I154" s="448"/>
      <c r="J154" s="448"/>
      <c r="K154" s="448"/>
      <c r="L154" s="448"/>
      <c r="M154" s="448"/>
      <c r="N154" s="448"/>
      <c r="O154" s="448"/>
      <c r="P154" s="448"/>
      <c r="Q154" s="448"/>
      <c r="R154" s="448"/>
      <c r="S154" s="448"/>
      <c r="T154" s="448"/>
      <c r="U154" s="449"/>
      <c r="W154" s="204"/>
      <c r="X154" s="504"/>
    </row>
    <row r="155" spans="1:24" ht="24" customHeight="1">
      <c r="B155" s="254"/>
      <c r="U155" s="227"/>
      <c r="W155" s="204"/>
      <c r="X155" s="504"/>
    </row>
    <row r="156" spans="1:24" ht="32" customHeight="1" thickBot="1">
      <c r="B156" s="254"/>
      <c r="C156" s="430"/>
      <c r="D156" s="1384" t="s">
        <v>480</v>
      </c>
      <c r="E156" s="1384"/>
      <c r="F156" s="1384"/>
      <c r="G156" s="1384"/>
      <c r="H156" s="1384"/>
      <c r="I156" s="1384"/>
      <c r="J156" s="1384"/>
      <c r="K156" s="1384"/>
      <c r="L156" s="1384"/>
      <c r="M156" s="1384"/>
      <c r="N156" s="1384"/>
      <c r="O156" s="1384"/>
      <c r="P156" s="1384"/>
      <c r="Q156" s="1384"/>
      <c r="R156" s="430"/>
      <c r="S156" s="1392">
        <f>IF(VA_FEHLER_D=1,"Fehler gefunden",S151-S134)</f>
        <v>0</v>
      </c>
      <c r="T156" s="1392"/>
      <c r="U156" s="227"/>
      <c r="W156" s="204"/>
      <c r="X156" s="504"/>
    </row>
    <row r="157" spans="1:24" ht="32" customHeight="1" thickBot="1">
      <c r="B157" s="254"/>
      <c r="C157" s="430"/>
      <c r="D157" s="1385" t="s">
        <v>481</v>
      </c>
      <c r="E157" s="1385"/>
      <c r="F157" s="1385"/>
      <c r="G157" s="1385"/>
      <c r="H157" s="1385"/>
      <c r="I157" s="1385"/>
      <c r="J157" s="1385"/>
      <c r="K157" s="1385"/>
      <c r="L157" s="1385"/>
      <c r="M157" s="1385"/>
      <c r="N157" s="1385"/>
      <c r="O157" s="1385"/>
      <c r="P157" s="1385"/>
      <c r="Q157" s="1385"/>
      <c r="R157" s="430"/>
      <c r="S157" s="1392">
        <f>IF(VA_FEHLER_D=1,"Fehler gefunden",ROUND(S156+S115,0))</f>
        <v>0</v>
      </c>
      <c r="T157" s="1392"/>
      <c r="U157" s="227"/>
      <c r="W157" s="204"/>
      <c r="X157" s="504"/>
    </row>
    <row r="158" spans="1:24" ht="32" customHeight="1" thickBot="1">
      <c r="B158" s="254"/>
      <c r="C158" s="430"/>
      <c r="D158" s="1385" t="s">
        <v>482</v>
      </c>
      <c r="E158" s="1385"/>
      <c r="F158" s="1385"/>
      <c r="G158" s="1385"/>
      <c r="H158" s="1385"/>
      <c r="I158" s="1385"/>
      <c r="J158" s="1385"/>
      <c r="K158" s="1385"/>
      <c r="L158" s="1385"/>
      <c r="M158" s="1385"/>
      <c r="N158" s="1385"/>
      <c r="O158" s="1385"/>
      <c r="P158" s="1385"/>
      <c r="Q158" s="1385"/>
      <c r="R158" s="430"/>
      <c r="S158" s="1392" t="str">
        <f>IF(VA_FEHLER_D=1,"Fehler gefunden",IFERROR(ROUND(S157/M47,0),""))</f>
        <v/>
      </c>
      <c r="T158" s="1392"/>
      <c r="U158" s="227"/>
      <c r="W158" s="204"/>
      <c r="X158" s="504"/>
    </row>
    <row r="159" spans="1:24" ht="24" customHeight="1" thickBot="1">
      <c r="B159" s="255"/>
      <c r="C159" s="705"/>
      <c r="D159" s="706"/>
      <c r="E159" s="707"/>
      <c r="F159" s="708"/>
      <c r="G159" s="709"/>
      <c r="H159" s="710"/>
      <c r="I159" s="240"/>
      <c r="J159" s="240"/>
      <c r="K159" s="240"/>
      <c r="L159" s="240"/>
      <c r="M159" s="240"/>
      <c r="N159" s="240"/>
      <c r="O159" s="240"/>
      <c r="P159" s="240"/>
      <c r="Q159" s="240"/>
      <c r="R159" s="240"/>
      <c r="S159" s="240"/>
      <c r="T159" s="240"/>
      <c r="U159" s="241"/>
      <c r="W159" s="204"/>
      <c r="X159" s="504"/>
    </row>
    <row r="160" spans="1:24" ht="6" customHeight="1">
      <c r="B160" s="809"/>
      <c r="C160" s="810"/>
      <c r="D160" s="811"/>
      <c r="E160" s="812"/>
      <c r="F160" s="813"/>
      <c r="G160" s="814"/>
      <c r="H160" s="815"/>
      <c r="I160" s="251"/>
      <c r="J160" s="251"/>
      <c r="K160" s="251"/>
      <c r="L160" s="251"/>
      <c r="M160" s="251"/>
      <c r="N160" s="251"/>
      <c r="O160" s="251"/>
      <c r="P160" s="251"/>
      <c r="Q160" s="251"/>
      <c r="R160" s="251"/>
      <c r="S160" s="251"/>
      <c r="T160" s="251"/>
      <c r="U160" s="816"/>
      <c r="W160" s="204"/>
      <c r="X160" s="504"/>
    </row>
    <row r="161" spans="1:24" ht="24" customHeight="1">
      <c r="A161" s="227"/>
      <c r="B161" s="702"/>
      <c r="C161" s="703" t="s">
        <v>396</v>
      </c>
      <c r="D161" s="426" t="s">
        <v>699</v>
      </c>
      <c r="E161" s="234"/>
      <c r="F161" s="234"/>
      <c r="G161" s="234"/>
      <c r="H161" s="234"/>
      <c r="I161" s="234"/>
      <c r="J161" s="234"/>
      <c r="K161" s="234"/>
      <c r="L161" s="234"/>
      <c r="M161" s="234"/>
      <c r="N161" s="234"/>
      <c r="O161" s="234"/>
      <c r="P161" s="234"/>
      <c r="Q161" s="234"/>
      <c r="R161" s="234"/>
      <c r="S161" s="234"/>
      <c r="T161" s="234"/>
      <c r="U161" s="427"/>
      <c r="W161" s="204"/>
      <c r="X161" s="504"/>
    </row>
    <row r="162" spans="1:24" ht="6" customHeight="1">
      <c r="A162" s="227"/>
      <c r="B162" s="254"/>
      <c r="U162" s="227"/>
      <c r="W162" s="204"/>
      <c r="X162" s="504"/>
    </row>
    <row r="163" spans="1:24" ht="20" customHeight="1">
      <c r="A163" s="227"/>
      <c r="B163" s="254"/>
      <c r="C163" s="462">
        <v>1</v>
      </c>
      <c r="D163" s="477" t="s">
        <v>441</v>
      </c>
      <c r="E163" s="478"/>
      <c r="F163" s="478"/>
      <c r="G163" s="478"/>
      <c r="H163" s="478"/>
      <c r="I163" s="478"/>
      <c r="J163" s="1399" t="s">
        <v>440</v>
      </c>
      <c r="K163" s="1400"/>
      <c r="L163" s="1400"/>
      <c r="M163" s="1400"/>
      <c r="N163" s="1400"/>
      <c r="O163" s="1386" t="s">
        <v>394</v>
      </c>
      <c r="P163" s="1361"/>
      <c r="Q163" s="1390"/>
      <c r="R163" s="1390"/>
      <c r="S163" s="479"/>
      <c r="T163" s="441"/>
      <c r="U163" s="227"/>
      <c r="W163" s="204"/>
      <c r="X163" s="504"/>
    </row>
    <row r="164" spans="1:24" ht="20" customHeight="1">
      <c r="A164" s="227"/>
      <c r="B164" s="254"/>
      <c r="C164" s="464">
        <v>2</v>
      </c>
      <c r="D164" s="1331" t="s">
        <v>397</v>
      </c>
      <c r="E164" s="1331"/>
      <c r="F164" s="1331"/>
      <c r="G164" s="1331"/>
      <c r="H164" s="1331"/>
      <c r="I164" s="1331"/>
      <c r="J164" s="1331"/>
      <c r="K164" s="1331"/>
      <c r="L164" s="1337"/>
      <c r="M164" s="432"/>
      <c r="N164" s="432"/>
      <c r="O164" s="1335" t="s">
        <v>11</v>
      </c>
      <c r="P164" s="1387"/>
      <c r="Q164" s="1391">
        <v>0.1</v>
      </c>
      <c r="R164" s="1391"/>
      <c r="S164" s="1332">
        <f>Q163*ROUND(Q164,3)</f>
        <v>0</v>
      </c>
      <c r="T164" s="1333"/>
      <c r="U164" s="227"/>
      <c r="W164" s="204"/>
      <c r="X164" s="504"/>
    </row>
    <row r="165" spans="1:24" ht="20" customHeight="1">
      <c r="A165" s="227"/>
      <c r="B165" s="254"/>
      <c r="C165" s="444"/>
      <c r="D165" s="1393" t="s">
        <v>439</v>
      </c>
      <c r="E165" s="1394"/>
      <c r="F165" s="1394"/>
      <c r="G165" s="1394"/>
      <c r="H165" s="1394"/>
      <c r="I165" s="1394"/>
      <c r="J165" s="1394"/>
      <c r="K165" s="1394"/>
      <c r="L165" s="1395"/>
      <c r="M165" s="442"/>
      <c r="N165" s="442"/>
      <c r="O165" s="442"/>
      <c r="P165" s="442"/>
      <c r="Q165" s="442"/>
      <c r="R165" s="443"/>
      <c r="S165" s="1417">
        <f>IFERROR(IF(S156&lt;0,ROUND(((S156*-1)/(Q163*ROUND(Q164,3))),0),0),"0")</f>
        <v>0</v>
      </c>
      <c r="T165" s="1418"/>
      <c r="U165" s="227"/>
      <c r="W165" s="204"/>
      <c r="X165" s="504"/>
    </row>
    <row r="166" spans="1:24" ht="20" customHeight="1">
      <c r="A166" s="227"/>
      <c r="B166" s="254"/>
      <c r="C166" s="445"/>
      <c r="D166" s="1396" t="s">
        <v>710</v>
      </c>
      <c r="E166" s="1397"/>
      <c r="F166" s="1397"/>
      <c r="G166" s="1397"/>
      <c r="H166" s="1397"/>
      <c r="I166" s="1397"/>
      <c r="J166" s="1397"/>
      <c r="K166" s="1397"/>
      <c r="L166" s="1398"/>
      <c r="M166" s="237"/>
      <c r="N166" s="237"/>
      <c r="O166" s="237"/>
      <c r="P166" s="237"/>
      <c r="Q166" s="1421" t="s">
        <v>711</v>
      </c>
      <c r="R166" s="1422"/>
      <c r="S166" s="1419" t="str">
        <f>IF(M51=0,"bitte A7 prüfen",IFERROR(S165/M51,""))</f>
        <v>bitte A7 prüfen</v>
      </c>
      <c r="T166" s="1420"/>
      <c r="U166" s="227"/>
      <c r="W166" s="204"/>
      <c r="X166" s="504"/>
    </row>
    <row r="167" spans="1:24" ht="20" customHeight="1">
      <c r="A167" s="227"/>
      <c r="B167" s="254"/>
      <c r="C167" s="462">
        <v>3</v>
      </c>
      <c r="D167" s="1378" t="s">
        <v>694</v>
      </c>
      <c r="E167" s="1378"/>
      <c r="F167" s="1378"/>
      <c r="G167" s="1378"/>
      <c r="H167" s="1378"/>
      <c r="I167" s="1378"/>
      <c r="J167" s="1378"/>
      <c r="K167" s="1378"/>
      <c r="L167" s="1378"/>
      <c r="M167" s="1414">
        <v>0</v>
      </c>
      <c r="N167" s="1414"/>
      <c r="O167" s="1415" t="s">
        <v>454</v>
      </c>
      <c r="P167" s="1416"/>
      <c r="Q167" s="1412">
        <f>ROUND(M51*ROUND(M167,2),0)</f>
        <v>0</v>
      </c>
      <c r="R167" s="1413"/>
      <c r="S167" s="431"/>
      <c r="T167" s="480"/>
      <c r="U167" s="227"/>
      <c r="W167" s="204"/>
      <c r="X167" s="504"/>
    </row>
    <row r="168" spans="1:24" ht="20" customHeight="1">
      <c r="A168" s="227"/>
      <c r="B168" s="254"/>
      <c r="C168" s="817">
        <v>4</v>
      </c>
      <c r="D168" s="1336" t="s">
        <v>398</v>
      </c>
      <c r="E168" s="1336"/>
      <c r="F168" s="1336"/>
      <c r="G168" s="1336"/>
      <c r="H168" s="1336"/>
      <c r="I168" s="1336"/>
      <c r="J168" s="1336"/>
      <c r="K168" s="1336"/>
      <c r="L168" s="1351"/>
      <c r="M168" s="818"/>
      <c r="N168" s="818"/>
      <c r="O168" s="818"/>
      <c r="P168" s="819"/>
      <c r="Q168" s="820"/>
      <c r="R168" s="821" t="str">
        <f>IFERROR("Anteil an Saldo Einnahmen/Kosten: "&amp;ROUND(S168/S156*-100,1)&amp;" %","")</f>
        <v/>
      </c>
      <c r="S168" s="1379">
        <f>Q167*Q163*Q164</f>
        <v>0</v>
      </c>
      <c r="T168" s="1380"/>
      <c r="U168" s="227"/>
      <c r="W168" s="204"/>
      <c r="X168" s="504"/>
    </row>
    <row r="169" spans="1:24" ht="20" customHeight="1">
      <c r="A169" s="227"/>
      <c r="B169" s="254"/>
      <c r="C169" s="464">
        <v>5</v>
      </c>
      <c r="D169" s="1401" t="s">
        <v>689</v>
      </c>
      <c r="E169" s="1402"/>
      <c r="F169" s="1402"/>
      <c r="G169" s="1402"/>
      <c r="H169" s="1402"/>
      <c r="I169" s="1402"/>
      <c r="J169" s="1402"/>
      <c r="K169" s="1402"/>
      <c r="L169" s="1402"/>
      <c r="M169" s="1402"/>
      <c r="N169" s="1402"/>
      <c r="O169" s="1402"/>
      <c r="P169" s="1402"/>
      <c r="Q169" s="1402"/>
      <c r="R169" s="1403"/>
      <c r="S169" s="1388">
        <f>IF(VA_FEHLER_D=1,"Fehler gefunden",ROUND(S156+S168,0))</f>
        <v>0</v>
      </c>
      <c r="T169" s="1389"/>
      <c r="U169" s="227"/>
      <c r="W169" s="204"/>
      <c r="X169" s="504"/>
    </row>
    <row r="170" spans="1:24" ht="12" customHeight="1" thickBot="1">
      <c r="A170" s="227"/>
      <c r="B170" s="255"/>
      <c r="C170" s="240"/>
      <c r="D170" s="240"/>
      <c r="E170" s="240"/>
      <c r="F170" s="240"/>
      <c r="G170" s="240"/>
      <c r="H170" s="240"/>
      <c r="I170" s="240"/>
      <c r="J170" s="240"/>
      <c r="K170" s="240"/>
      <c r="L170" s="240"/>
      <c r="M170" s="240"/>
      <c r="N170" s="240"/>
      <c r="O170" s="240"/>
      <c r="P170" s="240"/>
      <c r="Q170" s="240"/>
      <c r="R170" s="240"/>
      <c r="S170" s="240"/>
      <c r="T170" s="240"/>
      <c r="U170" s="241"/>
      <c r="W170" s="204"/>
      <c r="X170" s="504"/>
    </row>
    <row r="171" spans="1:24" ht="18" customHeight="1" thickBot="1">
      <c r="B171" s="358"/>
      <c r="C171" s="799"/>
      <c r="D171" s="800"/>
      <c r="E171" s="801"/>
      <c r="F171" s="802"/>
      <c r="G171" s="803"/>
      <c r="H171" s="804"/>
      <c r="I171" s="358"/>
      <c r="J171" s="358"/>
      <c r="K171" s="358"/>
      <c r="L171" s="358"/>
      <c r="M171" s="358"/>
      <c r="N171" s="358"/>
      <c r="O171" s="358"/>
      <c r="P171" s="358"/>
      <c r="Q171" s="358"/>
      <c r="R171" s="358"/>
      <c r="S171" s="358"/>
      <c r="T171" s="358"/>
      <c r="U171" s="358"/>
      <c r="W171" s="204"/>
      <c r="X171" s="504"/>
    </row>
    <row r="172" spans="1:24" ht="32" customHeight="1" thickBot="1">
      <c r="A172" s="227"/>
      <c r="B172" s="805"/>
      <c r="C172" s="447" t="s">
        <v>422</v>
      </c>
      <c r="D172" s="806"/>
      <c r="E172" s="807"/>
      <c r="F172" s="807"/>
      <c r="G172" s="807"/>
      <c r="H172" s="807"/>
      <c r="I172" s="807"/>
      <c r="J172" s="807"/>
      <c r="K172" s="807"/>
      <c r="L172" s="807"/>
      <c r="M172" s="807"/>
      <c r="N172" s="807"/>
      <c r="O172" s="807"/>
      <c r="P172" s="807"/>
      <c r="Q172" s="807"/>
      <c r="R172" s="807"/>
      <c r="S172" s="807"/>
      <c r="T172" s="807"/>
      <c r="U172" s="808"/>
      <c r="W172" s="204"/>
      <c r="X172" s="504"/>
    </row>
    <row r="173" spans="1:24" ht="10" customHeight="1">
      <c r="A173" s="227"/>
      <c r="B173" s="245"/>
      <c r="C173" s="202"/>
      <c r="D173" s="202"/>
      <c r="E173" s="202"/>
      <c r="F173" s="202"/>
      <c r="G173" s="202"/>
      <c r="H173" s="246"/>
      <c r="I173" s="250"/>
      <c r="J173" s="250"/>
      <c r="U173" s="227"/>
      <c r="W173" s="204"/>
      <c r="X173" s="504"/>
    </row>
    <row r="174" spans="1:24" ht="20" customHeight="1">
      <c r="A174" s="227"/>
      <c r="B174" s="245"/>
      <c r="C174" s="1404" t="s">
        <v>698</v>
      </c>
      <c r="D174" s="1404"/>
      <c r="E174" s="1404"/>
      <c r="F174" s="1404"/>
      <c r="G174" s="1404"/>
      <c r="H174" s="1405"/>
      <c r="I174" s="839"/>
      <c r="J174" s="451"/>
      <c r="K174" s="451"/>
      <c r="L174" s="451"/>
      <c r="M174" s="451"/>
      <c r="N174" s="451"/>
      <c r="Q174" s="704" t="s">
        <v>423</v>
      </c>
      <c r="R174" s="1382" t="str">
        <f>IF(VA_KOSTENANALYSE=2,M47,VA_BBGESAMT)</f>
        <v>es fehlen noch Daten</v>
      </c>
      <c r="S174" s="1382"/>
      <c r="T174" s="1382"/>
      <c r="U174" s="227"/>
      <c r="W174" s="204"/>
      <c r="X174" s="504"/>
    </row>
    <row r="175" spans="1:24" ht="4" customHeight="1">
      <c r="A175" s="227"/>
      <c r="B175" s="245"/>
      <c r="C175" s="1404"/>
      <c r="D175" s="1404"/>
      <c r="E175" s="1404"/>
      <c r="F175" s="1404"/>
      <c r="G175" s="1404"/>
      <c r="H175" s="1405"/>
      <c r="I175" s="839"/>
      <c r="J175" s="451"/>
      <c r="K175" s="451"/>
      <c r="L175" s="451"/>
      <c r="M175" s="451"/>
      <c r="N175" s="451"/>
      <c r="U175" s="227"/>
      <c r="W175" s="204"/>
      <c r="X175" s="504"/>
    </row>
    <row r="176" spans="1:24" ht="18" customHeight="1">
      <c r="A176" s="227"/>
      <c r="B176" s="245"/>
      <c r="C176" s="1404"/>
      <c r="D176" s="1404"/>
      <c r="E176" s="1404"/>
      <c r="F176" s="1404"/>
      <c r="G176" s="1404"/>
      <c r="H176" s="1405"/>
      <c r="I176" s="839"/>
      <c r="J176" s="451"/>
      <c r="K176" s="451"/>
      <c r="L176" s="451"/>
      <c r="M176" s="451"/>
      <c r="N176" s="451"/>
      <c r="Q176" s="704" t="s">
        <v>696</v>
      </c>
      <c r="R176" s="1383">
        <f>S156</f>
        <v>0</v>
      </c>
      <c r="S176" s="1383"/>
      <c r="T176" s="1383"/>
      <c r="U176" s="227"/>
      <c r="W176" s="204"/>
      <c r="X176" s="504"/>
    </row>
    <row r="177" spans="1:24" ht="10" customHeight="1" thickBot="1">
      <c r="A177" s="227"/>
      <c r="B177" s="247"/>
      <c r="C177" s="248"/>
      <c r="D177" s="248"/>
      <c r="E177" s="248"/>
      <c r="F177" s="248"/>
      <c r="G177" s="248"/>
      <c r="H177" s="249"/>
      <c r="I177" s="240"/>
      <c r="J177" s="240"/>
      <c r="K177" s="240"/>
      <c r="L177" s="240"/>
      <c r="M177" s="240"/>
      <c r="N177" s="240"/>
      <c r="O177" s="240"/>
      <c r="P177" s="240"/>
      <c r="Q177" s="240"/>
      <c r="R177" s="240"/>
      <c r="S177" s="240"/>
      <c r="T177" s="240"/>
      <c r="U177" s="241"/>
      <c r="W177" s="204"/>
      <c r="X177" s="504"/>
    </row>
    <row r="178" spans="1:24" ht="10" customHeight="1">
      <c r="W178" s="204"/>
      <c r="X178" s="504"/>
    </row>
    <row r="179" spans="1:24" ht="5" customHeight="1">
      <c r="A179" s="204"/>
      <c r="B179" s="204"/>
      <c r="C179" s="204"/>
      <c r="D179" s="204"/>
      <c r="E179" s="204"/>
      <c r="F179" s="204"/>
      <c r="G179" s="204"/>
      <c r="H179" s="204"/>
      <c r="I179" s="204"/>
      <c r="J179" s="204"/>
      <c r="K179" s="204"/>
      <c r="L179" s="204"/>
      <c r="M179" s="204"/>
      <c r="N179" s="204"/>
      <c r="O179" s="204"/>
      <c r="P179" s="204"/>
      <c r="Q179" s="204"/>
      <c r="R179" s="204"/>
      <c r="S179" s="204"/>
      <c r="T179" s="204"/>
      <c r="U179" s="204"/>
      <c r="V179" s="204"/>
      <c r="W179" s="204"/>
      <c r="X179" s="504"/>
    </row>
    <row r="180" spans="1:24" ht="45" customHeight="1">
      <c r="A180" s="504"/>
      <c r="B180" s="504"/>
      <c r="C180" s="504"/>
      <c r="D180" s="504"/>
      <c r="E180" s="504"/>
      <c r="F180" s="1035" t="s">
        <v>701</v>
      </c>
      <c r="G180" s="1035"/>
      <c r="H180" s="1035"/>
      <c r="I180" s="1035"/>
      <c r="J180" s="1035"/>
      <c r="K180" s="1035"/>
      <c r="L180" s="1035"/>
      <c r="M180" s="1035"/>
      <c r="N180" s="1035"/>
      <c r="O180" s="1035"/>
      <c r="P180" s="1035"/>
      <c r="Q180" s="504"/>
      <c r="R180" s="504"/>
      <c r="S180" s="504"/>
      <c r="T180" s="504"/>
      <c r="U180" s="504"/>
      <c r="V180" s="504"/>
      <c r="W180" s="504"/>
      <c r="X180" s="504"/>
    </row>
    <row r="181" spans="1:24" ht="26.25" customHeight="1"/>
    <row r="183" spans="1:24" ht="18" customHeight="1">
      <c r="A183" s="505"/>
    </row>
  </sheetData>
  <sheetProtection algorithmName="SHA-512" hashValue="t5wxLduS7oO+GIRjYRzxclpxPFsthiAb5eR16z/9xoUf4DN920iBOf5hsSfH2xRRm8E7Efu6v6gkbVXAxS4WIg==" saltValue="jYXiRRMzBQJ97vNmnDUEWA==" spinCount="100000" sheet="1" objects="1" scenarios="1"/>
  <mergeCells count="372">
    <mergeCell ref="S60:T60"/>
    <mergeCell ref="D71:L71"/>
    <mergeCell ref="O42:P42"/>
    <mergeCell ref="O43:P43"/>
    <mergeCell ref="D48:L48"/>
    <mergeCell ref="O48:P48"/>
    <mergeCell ref="Q51:T51"/>
    <mergeCell ref="Q48:T48"/>
    <mergeCell ref="D49:L49"/>
    <mergeCell ref="D50:L50"/>
    <mergeCell ref="Q58:R58"/>
    <mergeCell ref="S55:T55"/>
    <mergeCell ref="S57:T57"/>
    <mergeCell ref="S58:T58"/>
    <mergeCell ref="O55:P55"/>
    <mergeCell ref="O57:P57"/>
    <mergeCell ref="O58:P58"/>
    <mergeCell ref="M55:N55"/>
    <mergeCell ref="M57:N57"/>
    <mergeCell ref="M58:N58"/>
    <mergeCell ref="D70:L70"/>
    <mergeCell ref="S56:T56"/>
    <mergeCell ref="S64:T64"/>
    <mergeCell ref="Q66:R66"/>
    <mergeCell ref="F180:P180"/>
    <mergeCell ref="Q53:R53"/>
    <mergeCell ref="S53:T53"/>
    <mergeCell ref="S42:T42"/>
    <mergeCell ref="S43:T43"/>
    <mergeCell ref="S44:T44"/>
    <mergeCell ref="S46:T46"/>
    <mergeCell ref="S47:T47"/>
    <mergeCell ref="M53:N53"/>
    <mergeCell ref="O53:P53"/>
    <mergeCell ref="M64:N64"/>
    <mergeCell ref="O64:P64"/>
    <mergeCell ref="D75:L75"/>
    <mergeCell ref="O44:P44"/>
    <mergeCell ref="O46:P46"/>
    <mergeCell ref="O47:P47"/>
    <mergeCell ref="O62:P62"/>
    <mergeCell ref="Q62:R62"/>
    <mergeCell ref="S62:T62"/>
    <mergeCell ref="Q55:R55"/>
    <mergeCell ref="D57:K57"/>
    <mergeCell ref="D58:K58"/>
    <mergeCell ref="D62:K62"/>
    <mergeCell ref="D66:K66"/>
    <mergeCell ref="A1:B1"/>
    <mergeCell ref="N34:T34"/>
    <mergeCell ref="C36:T36"/>
    <mergeCell ref="Q40:R40"/>
    <mergeCell ref="S40:T40"/>
    <mergeCell ref="O51:P51"/>
    <mergeCell ref="Q42:R42"/>
    <mergeCell ref="Q43:R43"/>
    <mergeCell ref="Q44:R44"/>
    <mergeCell ref="Q46:R46"/>
    <mergeCell ref="Q47:R47"/>
    <mergeCell ref="R1:T1"/>
    <mergeCell ref="M40:N40"/>
    <mergeCell ref="O40:P40"/>
    <mergeCell ref="D47:L47"/>
    <mergeCell ref="D51:L51"/>
    <mergeCell ref="Q50:T50"/>
    <mergeCell ref="O31:T31"/>
    <mergeCell ref="M26:N26"/>
    <mergeCell ref="M27:N27"/>
    <mergeCell ref="M28:N28"/>
    <mergeCell ref="M29:N29"/>
    <mergeCell ref="M31:N31"/>
    <mergeCell ref="E27:K27"/>
    <mergeCell ref="S66:T66"/>
    <mergeCell ref="O66:P66"/>
    <mergeCell ref="M73:N73"/>
    <mergeCell ref="O73:P73"/>
    <mergeCell ref="Q73:R73"/>
    <mergeCell ref="S73:T73"/>
    <mergeCell ref="O67:P67"/>
    <mergeCell ref="O68:P68"/>
    <mergeCell ref="O69:P69"/>
    <mergeCell ref="O70:P70"/>
    <mergeCell ref="O71:P71"/>
    <mergeCell ref="S67:T67"/>
    <mergeCell ref="S68:T68"/>
    <mergeCell ref="S69:T69"/>
    <mergeCell ref="S70:T70"/>
    <mergeCell ref="S71:T71"/>
    <mergeCell ref="M66:N66"/>
    <mergeCell ref="M62:N62"/>
    <mergeCell ref="M60:N60"/>
    <mergeCell ref="O60:P60"/>
    <mergeCell ref="M56:N56"/>
    <mergeCell ref="O56:P56"/>
    <mergeCell ref="Q56:R56"/>
    <mergeCell ref="D69:L69"/>
    <mergeCell ref="Q57:R57"/>
    <mergeCell ref="O75:P75"/>
    <mergeCell ref="M67:N67"/>
    <mergeCell ref="M68:N68"/>
    <mergeCell ref="M69:N69"/>
    <mergeCell ref="M70:N70"/>
    <mergeCell ref="M71:N71"/>
    <mergeCell ref="Q70:R70"/>
    <mergeCell ref="Q71:R71"/>
    <mergeCell ref="Q67:R67"/>
    <mergeCell ref="Q68:R68"/>
    <mergeCell ref="Q69:R69"/>
    <mergeCell ref="Q64:R64"/>
    <mergeCell ref="Q60:R60"/>
    <mergeCell ref="S76:T76"/>
    <mergeCell ref="S77:T77"/>
    <mergeCell ref="D96:L96"/>
    <mergeCell ref="D97:L97"/>
    <mergeCell ref="D90:L90"/>
    <mergeCell ref="S90:T90"/>
    <mergeCell ref="S75:T75"/>
    <mergeCell ref="Q75:R75"/>
    <mergeCell ref="Q80:R80"/>
    <mergeCell ref="S78:T78"/>
    <mergeCell ref="Q76:R76"/>
    <mergeCell ref="Q77:R77"/>
    <mergeCell ref="Q78:R78"/>
    <mergeCell ref="O76:P76"/>
    <mergeCell ref="O77:P77"/>
    <mergeCell ref="O78:P78"/>
    <mergeCell ref="D98:L98"/>
    <mergeCell ref="D99:L99"/>
    <mergeCell ref="N93:R93"/>
    <mergeCell ref="D85:L85"/>
    <mergeCell ref="D86:L86"/>
    <mergeCell ref="S84:T84"/>
    <mergeCell ref="M85:N85"/>
    <mergeCell ref="O85:P85"/>
    <mergeCell ref="Q85:R85"/>
    <mergeCell ref="S85:T85"/>
    <mergeCell ref="S86:T86"/>
    <mergeCell ref="O86:P86"/>
    <mergeCell ref="Q86:R86"/>
    <mergeCell ref="D84:L84"/>
    <mergeCell ref="S94:T94"/>
    <mergeCell ref="O98:P99"/>
    <mergeCell ref="O96:P97"/>
    <mergeCell ref="Q96:R97"/>
    <mergeCell ref="Q98:R99"/>
    <mergeCell ref="S96:T97"/>
    <mergeCell ref="S98:T99"/>
    <mergeCell ref="M96:N96"/>
    <mergeCell ref="M97:N97"/>
    <mergeCell ref="M98:N98"/>
    <mergeCell ref="M99:N99"/>
    <mergeCell ref="S100:T100"/>
    <mergeCell ref="D100:L100"/>
    <mergeCell ref="M102:N102"/>
    <mergeCell ref="O102:P102"/>
    <mergeCell ref="Q102:R102"/>
    <mergeCell ref="S102:T102"/>
    <mergeCell ref="D108:L108"/>
    <mergeCell ref="S108:T108"/>
    <mergeCell ref="D104:L104"/>
    <mergeCell ref="D106:L106"/>
    <mergeCell ref="Q105:R105"/>
    <mergeCell ref="O105:P105"/>
    <mergeCell ref="S105:T105"/>
    <mergeCell ref="S104:T104"/>
    <mergeCell ref="S106:T106"/>
    <mergeCell ref="Q104:R104"/>
    <mergeCell ref="Q106:R106"/>
    <mergeCell ref="D105:K105"/>
    <mergeCell ref="L105:N105"/>
    <mergeCell ref="D123:L123"/>
    <mergeCell ref="O123:P123"/>
    <mergeCell ref="M112:N112"/>
    <mergeCell ref="O112:P112"/>
    <mergeCell ref="Q112:R112"/>
    <mergeCell ref="S112:T112"/>
    <mergeCell ref="D114:L114"/>
    <mergeCell ref="S114:T114"/>
    <mergeCell ref="S115:T115"/>
    <mergeCell ref="S116:T116"/>
    <mergeCell ref="Q114:R114"/>
    <mergeCell ref="Q115:R115"/>
    <mergeCell ref="Q116:R116"/>
    <mergeCell ref="O114:P114"/>
    <mergeCell ref="O115:P115"/>
    <mergeCell ref="O116:P116"/>
    <mergeCell ref="M114:N114"/>
    <mergeCell ref="M115:N115"/>
    <mergeCell ref="M116:N116"/>
    <mergeCell ref="D115:L115"/>
    <mergeCell ref="D116:L116"/>
    <mergeCell ref="M121:N121"/>
    <mergeCell ref="M122:N122"/>
    <mergeCell ref="D117:L117"/>
    <mergeCell ref="S117:T117"/>
    <mergeCell ref="M119:N119"/>
    <mergeCell ref="O119:P119"/>
    <mergeCell ref="Q119:R119"/>
    <mergeCell ref="S119:T119"/>
    <mergeCell ref="O121:P121"/>
    <mergeCell ref="O122:P122"/>
    <mergeCell ref="D121:L121"/>
    <mergeCell ref="D122:L122"/>
    <mergeCell ref="S132:T132"/>
    <mergeCell ref="S127:T127"/>
    <mergeCell ref="S128:T128"/>
    <mergeCell ref="S129:T129"/>
    <mergeCell ref="S121:T121"/>
    <mergeCell ref="S122:T122"/>
    <mergeCell ref="S123:T123"/>
    <mergeCell ref="Q121:R121"/>
    <mergeCell ref="Q122:R122"/>
    <mergeCell ref="Q123:R123"/>
    <mergeCell ref="D127:L127"/>
    <mergeCell ref="M129:N129"/>
    <mergeCell ref="M130:N130"/>
    <mergeCell ref="D128:L128"/>
    <mergeCell ref="Q125:R125"/>
    <mergeCell ref="S125:T125"/>
    <mergeCell ref="M138:N138"/>
    <mergeCell ref="O138:P138"/>
    <mergeCell ref="Q138:R138"/>
    <mergeCell ref="S138:T138"/>
    <mergeCell ref="Q127:R127"/>
    <mergeCell ref="Q128:R128"/>
    <mergeCell ref="Q129:R129"/>
    <mergeCell ref="Q130:R130"/>
    <mergeCell ref="Q131:R131"/>
    <mergeCell ref="O127:P127"/>
    <mergeCell ref="O128:P128"/>
    <mergeCell ref="O131:P131"/>
    <mergeCell ref="O129:P129"/>
    <mergeCell ref="O130:P130"/>
    <mergeCell ref="M127:N127"/>
    <mergeCell ref="S134:T134"/>
    <mergeCell ref="M125:N125"/>
    <mergeCell ref="O125:P125"/>
    <mergeCell ref="Q141:R141"/>
    <mergeCell ref="Q142:R142"/>
    <mergeCell ref="Q143:R143"/>
    <mergeCell ref="D129:L129"/>
    <mergeCell ref="D130:L130"/>
    <mergeCell ref="D131:L131"/>
    <mergeCell ref="M140:N140"/>
    <mergeCell ref="D132:L132"/>
    <mergeCell ref="D134:L134"/>
    <mergeCell ref="D140:H140"/>
    <mergeCell ref="I140:L140"/>
    <mergeCell ref="J137:N137"/>
    <mergeCell ref="M141:N141"/>
    <mergeCell ref="M142:N142"/>
    <mergeCell ref="O143:P143"/>
    <mergeCell ref="O142:P142"/>
    <mergeCell ref="O148:P148"/>
    <mergeCell ref="O149:P149"/>
    <mergeCell ref="M147:N147"/>
    <mergeCell ref="D168:L168"/>
    <mergeCell ref="S168:T168"/>
    <mergeCell ref="M143:N143"/>
    <mergeCell ref="Q167:R167"/>
    <mergeCell ref="M167:N167"/>
    <mergeCell ref="O167:P167"/>
    <mergeCell ref="S165:T165"/>
    <mergeCell ref="S166:T166"/>
    <mergeCell ref="Q166:R166"/>
    <mergeCell ref="S145:T145"/>
    <mergeCell ref="S147:T147"/>
    <mergeCell ref="S148:T148"/>
    <mergeCell ref="S149:T149"/>
    <mergeCell ref="S151:T151"/>
    <mergeCell ref="Q147:R147"/>
    <mergeCell ref="Q148:R148"/>
    <mergeCell ref="Q149:R149"/>
    <mergeCell ref="M145:N145"/>
    <mergeCell ref="O145:P145"/>
    <mergeCell ref="Q145:R145"/>
    <mergeCell ref="D148:L148"/>
    <mergeCell ref="D149:L149"/>
    <mergeCell ref="R174:T174"/>
    <mergeCell ref="R176:T176"/>
    <mergeCell ref="D156:Q156"/>
    <mergeCell ref="D157:Q157"/>
    <mergeCell ref="O163:P163"/>
    <mergeCell ref="O164:P164"/>
    <mergeCell ref="S169:T169"/>
    <mergeCell ref="D151:L151"/>
    <mergeCell ref="D164:L164"/>
    <mergeCell ref="S164:T164"/>
    <mergeCell ref="Q163:R163"/>
    <mergeCell ref="Q164:R164"/>
    <mergeCell ref="S156:T156"/>
    <mergeCell ref="S157:T157"/>
    <mergeCell ref="S158:T158"/>
    <mergeCell ref="D165:L165"/>
    <mergeCell ref="D166:L166"/>
    <mergeCell ref="D167:L167"/>
    <mergeCell ref="J163:N163"/>
    <mergeCell ref="D169:R169"/>
    <mergeCell ref="C174:H176"/>
    <mergeCell ref="D158:Q158"/>
    <mergeCell ref="Y1:AA1"/>
    <mergeCell ref="O147:P147"/>
    <mergeCell ref="D46:G46"/>
    <mergeCell ref="Q45:R45"/>
    <mergeCell ref="O45:P45"/>
    <mergeCell ref="S45:T45"/>
    <mergeCell ref="D42:G42"/>
    <mergeCell ref="D43:G43"/>
    <mergeCell ref="D44:G44"/>
    <mergeCell ref="D45:G45"/>
    <mergeCell ref="K141:L141"/>
    <mergeCell ref="K142:L142"/>
    <mergeCell ref="D141:J141"/>
    <mergeCell ref="D142:J142"/>
    <mergeCell ref="K143:L143"/>
    <mergeCell ref="D143:J143"/>
    <mergeCell ref="D147:L147"/>
    <mergeCell ref="S141:T141"/>
    <mergeCell ref="S142:T142"/>
    <mergeCell ref="S143:T143"/>
    <mergeCell ref="S130:T130"/>
    <mergeCell ref="S131:T131"/>
    <mergeCell ref="O141:P141"/>
    <mergeCell ref="O29:T29"/>
    <mergeCell ref="H17:J17"/>
    <mergeCell ref="N17:O17"/>
    <mergeCell ref="L17:M17"/>
    <mergeCell ref="L19:T19"/>
    <mergeCell ref="C25:D25"/>
    <mergeCell ref="C26:D26"/>
    <mergeCell ref="C27:D27"/>
    <mergeCell ref="D55:K55"/>
    <mergeCell ref="D56:K56"/>
    <mergeCell ref="C28:D28"/>
    <mergeCell ref="C29:D29"/>
    <mergeCell ref="C30:D30"/>
    <mergeCell ref="E25:K25"/>
    <mergeCell ref="E26:K26"/>
    <mergeCell ref="M25:N25"/>
    <mergeCell ref="O30:T30"/>
    <mergeCell ref="M30:N30"/>
    <mergeCell ref="E31:K31"/>
    <mergeCell ref="O25:T25"/>
    <mergeCell ref="M47:N47"/>
    <mergeCell ref="M51:N51"/>
    <mergeCell ref="O26:T26"/>
    <mergeCell ref="O27:T27"/>
    <mergeCell ref="O28:T28"/>
    <mergeCell ref="E28:K28"/>
    <mergeCell ref="E29:K29"/>
    <mergeCell ref="E30:K30"/>
    <mergeCell ref="D67:K67"/>
    <mergeCell ref="D68:K68"/>
    <mergeCell ref="S88:T88"/>
    <mergeCell ref="S89:T89"/>
    <mergeCell ref="D88:L88"/>
    <mergeCell ref="D89:L89"/>
    <mergeCell ref="M82:N82"/>
    <mergeCell ref="O82:P82"/>
    <mergeCell ref="Q82:R82"/>
    <mergeCell ref="S82:T82"/>
    <mergeCell ref="D79:L79"/>
    <mergeCell ref="S79:T79"/>
    <mergeCell ref="D80:L80"/>
    <mergeCell ref="S80:T80"/>
    <mergeCell ref="M80:N80"/>
    <mergeCell ref="O80:P80"/>
    <mergeCell ref="D77:L77"/>
    <mergeCell ref="D78:L78"/>
    <mergeCell ref="M76:N76"/>
    <mergeCell ref="M77:N77"/>
    <mergeCell ref="D76:L76"/>
  </mergeCells>
  <conditionalFormatting sqref="A1:Q1">
    <cfRule type="expression" dxfId="53" priority="23">
      <formula>OR(AND(OR(VA_FEHLER_AB&gt;0,VA_FEHLER_C&gt;0),VA_KOSTENANALYSE&lt;&gt;2),VA_FEHLER_D&gt;0)</formula>
    </cfRule>
    <cfRule type="expression" dxfId="52" priority="46">
      <formula>AND(VA_FEHLER_CD=1,VA_KOSTENANALYSE=1)</formula>
    </cfRule>
  </conditionalFormatting>
  <conditionalFormatting sqref="C140:L143 C40:T40 C42:L51 O42:P51 C53:T53 C55:K58 O55:P58 C60:T60 C62:K62 O62 C64:T64 C66:K68 O66:P71 C69:L71 C73:T73 C75:L80 O76:P80 C82:T82 C84:L86 O85:P86 C94:T94 O96:P99 C96:C100 D100 C102:T102 C104:P106 C112:T112 C114:L117 O114:P117 C119:T119 C121:L123 O121:P123 C125:T125 C127:L132 O127:P132 C138:T138 O141:P143 C145:T145 C147:L149 O147:P149 C161:T161 C163:I163 O163:P164 C164:N164 C165:R166 C167:L167 O167:S167 C168:R169">
    <cfRule type="expression" dxfId="51" priority="25">
      <formula>OR(VA_KOSTENANALYSE=0,AND(VA_KOSTENANALYSE=1,OR(VA_FEHLERMODUL&lt;&gt;0,VA_FEHLER_AB&lt;&gt;0,VA_FEHLER_C&lt;&gt;0,VA_FEHLER_CD=1)))</formula>
    </cfRule>
  </conditionalFormatting>
  <conditionalFormatting sqref="C36:T36">
    <cfRule type="expression" dxfId="50" priority="41">
      <formula>OR($B$36=2,$B$36=3)</formula>
    </cfRule>
    <cfRule type="expression" dxfId="49" priority="42">
      <formula>OR($B$36=4,$B$36=5)</formula>
    </cfRule>
  </conditionalFormatting>
  <conditionalFormatting sqref="C88:T90 Q42:T46 M42:N48 S47 N49 M50:N51 L55:N58 Q55:T58 L62:N62 Q62:T62 L66:L68 M66:N71 Q66:T71 S75:T80 M76:N77 Q76:R78 M80 Q80 S84:T86 M85 Q85:R86 D96:N99 Q96:T99 O100:T100 Q104:T106 C108:T108 M114:N116 Q114:T116 S117 M121:M122 Q121:T123 M127 Q127:T131 M129:N130 S132 C134:T134 M140:N143 Q141:T143 M147 Q147:T149 C151:T151 C156:T158 J163 Q163:R164 S164:T166 M167 S168:T169 R176">
    <cfRule type="expression" dxfId="48" priority="29">
      <formula>OR(VA_KOSTENANALYSE=0,AND(VA_KOSTENANALYSE=1,OR(VA_FEHLERMODUL&lt;&gt;0,VA_FEHLER_AB&lt;&gt;0,VA_FEHLER_C&lt;&gt;0,VA_FEHLER_CD=1)))</formula>
    </cfRule>
  </conditionalFormatting>
  <conditionalFormatting sqref="I140:L140">
    <cfRule type="expression" dxfId="47" priority="11">
      <formula>$M$140-($M$141+$M$142+$M$143)&lt;=0</formula>
    </cfRule>
  </conditionalFormatting>
  <conditionalFormatting sqref="K141:N142 M143 K143 J137">
    <cfRule type="expression" dxfId="46" priority="30">
      <formula>AND(VA_FEHLER_D=1,($M$142+$M$141+$M$143)&gt;$M$140)</formula>
    </cfRule>
  </conditionalFormatting>
  <conditionalFormatting sqref="M34">
    <cfRule type="expression" dxfId="45" priority="44">
      <formula>VA_KOSTENANALYSE&gt;0</formula>
    </cfRule>
  </conditionalFormatting>
  <conditionalFormatting sqref="M42:M46 M48:M50">
    <cfRule type="expression" dxfId="44" priority="18">
      <formula>VA_KOSTENANALYSE&lt;2</formula>
    </cfRule>
  </conditionalFormatting>
  <conditionalFormatting sqref="M48 M50 Q48 Q50">
    <cfRule type="expression" dxfId="43" priority="47">
      <formula>AND(VA_FEHLER_D=1,VA_KOSTENANALYSE=2,SUM($M$48:$M$50)&gt;$M$47)</formula>
    </cfRule>
  </conditionalFormatting>
  <conditionalFormatting sqref="M51 Q51">
    <cfRule type="expression" dxfId="42" priority="51">
      <formula>OR(AND(VA_KOSTENANALYSE=1,VA_FEHLER_D=1,$M$51&gt;SUM($N$48:$N$50)),AND(VA_KOSTENANALYSE=2,VA_FEHLER_D=1,$M$51&gt;SUM($M$48:$M$50)))</formula>
    </cfRule>
  </conditionalFormatting>
  <conditionalFormatting sqref="M90:T90">
    <cfRule type="expression" dxfId="41" priority="2">
      <formula>AND(VA_FEHLER_D=1,($S$110+$S$112)&gt;$S$88)</formula>
    </cfRule>
  </conditionalFormatting>
  <conditionalFormatting sqref="N34">
    <cfRule type="expression" dxfId="40" priority="43">
      <formula>VA_KOSTENANALYSE=0</formula>
    </cfRule>
  </conditionalFormatting>
  <conditionalFormatting sqref="N42:N46 N48:N50">
    <cfRule type="expression" dxfId="39" priority="13">
      <formula>VA_KOSTENANALYSE=2</formula>
    </cfRule>
  </conditionalFormatting>
  <conditionalFormatting sqref="Q105 L105">
    <cfRule type="expression" dxfId="38" priority="31">
      <formula>AND(VA_FEHLER_D=1,$S$105&gt;$S$104)</formula>
    </cfRule>
  </conditionalFormatting>
  <conditionalFormatting sqref="S88 S96 S98 M100:S100 N93">
    <cfRule type="expression" dxfId="37" priority="52">
      <formula>AND(VA_FEHLER_D=1,$S$100&gt;$S$88)</formula>
    </cfRule>
  </conditionalFormatting>
  <conditionalFormatting sqref="S156:T158">
    <cfRule type="expression" dxfId="36" priority="32">
      <formula>VA_FEHLER_D=1</formula>
    </cfRule>
    <cfRule type="expression" dxfId="35" priority="37">
      <formula>S156&gt;0</formula>
    </cfRule>
    <cfRule type="expression" dxfId="34" priority="38">
      <formula>S156&lt;0</formula>
    </cfRule>
    <cfRule type="expression" dxfId="33" priority="39">
      <formula>S156=0</formula>
    </cfRule>
  </conditionalFormatting>
  <conditionalFormatting sqref="Y1">
    <cfRule type="expression" dxfId="32" priority="4">
      <formula>V_ARBEIT=0</formula>
    </cfRule>
  </conditionalFormatting>
  <dataValidations count="16">
    <dataValidation type="list" allowBlank="1" showErrorMessage="1" errorTitle="Eingabefehler" error="Bitte Eintrag aus der Auswahlliste wählen." sqref="N34:T34" xr:uid="{429EA9D8-9577-4CE1-A2E7-9CCE0BF641DE}">
      <formula1>R_KOSTENANALYSE</formula1>
    </dataValidation>
    <dataValidation type="whole" operator="greaterThanOrEqual" allowBlank="1" showInputMessage="1" showErrorMessage="1" errorTitle="Eingabefehler" error="Nur ganze, positive Zahlen sowie Null erlaubt." sqref="M62 Q115:R115 M55:M58 Q62:R62 Q66:R71 Q78:R78 Q86:R86 M121:N122 Q123:R123 Q128:R131 M129:N130 Q163:R163 Q148:R149 M147:N147 M141:N143 M42:M46 M66:M71 Q42:R46 Q55:R58" xr:uid="{312DBF9C-E78A-4D73-AE13-0708282E9DEB}">
      <formula1>0</formula1>
    </dataValidation>
    <dataValidation type="list" allowBlank="1" showInputMessage="1" showErrorMessage="1" errorTitle="Eingabefehler" error="Bitte Eintrag aus der Auswahlliste wählen." sqref="M76:N77 M85:N85" xr:uid="{2CF813F4-CDD4-4279-9764-FF22EBB992E9}">
      <formula1>"ja,nein"</formula1>
    </dataValidation>
    <dataValidation type="whole" operator="greaterThanOrEqual" allowBlank="1" showInputMessage="1" showErrorMessage="1" errorTitle="Eingabefehler" error="Nur ganze, positive Zahlen sowie Null erlaubt." prompt="Hier eingetragener Wert wird Berechnungsgrundlage für Fördersatz. Feld leer lassen, wenn gesamte Herstellungskosten zuwendungsfähig sind." sqref="M97:N97 M99:N99" xr:uid="{03AF8308-F266-484B-A0F5-CF7FE2981BB0}">
      <formula1>0</formula1>
    </dataValidation>
    <dataValidation type="decimal" allowBlank="1" showInputMessage="1" showErrorMessage="1" errorTitle="Eingabefehler" error="Nur ganze Zahlen zwischen 0 und 100 erlaubt." prompt="Feld leer lassen oder 0 eintragen, wenn kein Förderprogramm." sqref="Q96:R99" xr:uid="{9A02AD70-70C4-400A-ACD5-ADB4910F5CDA}">
      <formula1>0</formula1>
      <formula2>1</formula2>
    </dataValidation>
    <dataValidation type="decimal" operator="greaterThanOrEqual" allowBlank="1" showInputMessage="1" showErrorMessage="1" errorTitle="Eingabefehler" error="Nur ganze, positive Zahlen sowie Null erlaubt." sqref="Q85:R85 Q80:R80 Q76:R77" xr:uid="{D9E2E0BC-1ECC-4877-B2E9-F93922214002}">
      <formula1>0</formula1>
    </dataValidation>
    <dataValidation type="whole" allowBlank="1" showInputMessage="1" showErrorMessage="1" errorTitle="Eingabefehler" error="Betrag darf nicht höher sein als verbleibender Investitionsanteil (J1)." sqref="Q105:R105" xr:uid="{BCB1E104-9896-42D0-9EAD-81B42D170D81}">
      <formula1>0</formula1>
      <formula2>S104</formula2>
    </dataValidation>
    <dataValidation type="decimal" operator="greaterThanOrEqual" allowBlank="1" showInputMessage="1" showErrorMessage="1" errorTitle="Eingabefehler" error="Nur positive Zahlen sowie Null erlaubt." sqref="Q114:R114 Q116:R116 Q127:R127 Q122:R122 Q141:R143 Q147:R147" xr:uid="{8F908602-90B0-40AE-A854-3BD262358E64}">
      <formula1>0</formula1>
    </dataValidation>
    <dataValidation type="decimal" operator="greaterThanOrEqual" allowBlank="1" showInputMessage="1" showErrorMessage="1" errorTitle="Eingabefehler" error="Nur positive Zahlen sowie Null erlaubt." promptTitle="Voreinstellung" prompt="_x000a_0,36€/kWh _x000a__x000a_Durchschnittspreis im Dezember 2024_x000a__x000a_(Quelle: Verivox)" sqref="Q121:R121" xr:uid="{DE289DEB-2E37-4214-8C4A-88E26B6538FA}">
      <formula1>0</formula1>
    </dataValidation>
    <dataValidation type="decimal" allowBlank="1" showInputMessage="1" showErrorMessage="1" errorTitle="Eingabefehler" error="Nur ganze Zahlen zwischen 0 und 100 erlaubt." promptTitle="Dateneingabe in dieses Feld:" prompt="Geschätzter Anteil der neu gebauten, entgeltpflichtigen Stellplätze, die von Neukunden genutzt werden." sqref="M167:N167" xr:uid="{2021C194-F608-4258-A200-3FFB51473C6A}">
      <formula1>0</formula1>
      <formula2>1</formula2>
    </dataValidation>
    <dataValidation type="decimal" allowBlank="1" showInputMessage="1" showErrorMessage="1" errorTitle="Eingabefehler" error="Nur ganze Zahlen zwischen 0 und 100 erlaubt." sqref="Q164:R164" xr:uid="{29A7E0D8-C777-453E-904E-98EA902AE181}">
      <formula1>0</formula1>
      <formula2>1</formula2>
    </dataValidation>
    <dataValidation type="textLength" allowBlank="1" showInputMessage="1" showErrorMessage="1" errorTitle="Eingabefehler" error="Es sind maximal 70 Zeichen (inkl. Leerzeichen) erlaubt." sqref="D96:L96 D98:L98" xr:uid="{B928C068-6C1C-417A-BDC7-2A291A758CE4}">
      <formula1>0</formula1>
      <formula2>70</formula2>
    </dataValidation>
    <dataValidation allowBlank="1" showInputMessage="1" showErrorMessage="1" promptTitle="Berechnungsgrundlage" prompt="_x000a_Ausleuchtung eines Quadratmeters: Einsatz von LEDs mit einer Lichtausbeute vom 90 lm/W und einem Verbrauch von 2,22 W/m² (entspricht 200 lx Beleuchtungsstärke)._x000a__x000a_Betriebszeit der LEDs: 12 Stunden je Tag an 365 Tagen." sqref="D121:L121" xr:uid="{79DDB93C-66A2-4B3A-A544-E0598CEED7E1}"/>
    <dataValidation type="whole" allowBlank="1" showInputMessage="1" showErrorMessage="1" errorTitle="Eingabefehler" error="Summe aus A6a bis A6c darf nicht höher sein als Summe Abstelltypen (A1bis5)._x000a__x000a_Ggf. zuerst Werte aus A6a und A6c löschen und erneut eingeben." sqref="M48" xr:uid="{AB509945-311E-4F53-AD85-4D13FE0484D2}">
      <formula1>0</formula1>
      <formula2>M47-SUM(M49:M50)</formula2>
    </dataValidation>
    <dataValidation type="whole" allowBlank="1" showInputMessage="1" showErrorMessage="1" errorTitle="Eingabefehler" error="Summe aus A6a bis A6c darf nicht höher sein als Summe Abstelltypen (A1bis5)._x000a__x000a_Ggf. zuerst Werte aus A6a und A6c löschen und erneut eingeben." sqref="M50" xr:uid="{6492D484-B2FD-4ED1-9B08-000F8B6124F9}">
      <formula1>0</formula1>
      <formula2>M47-SUM(M48:M49)</formula2>
    </dataValidation>
    <dataValidation type="whole" allowBlank="1" showInputMessage="1" showErrorMessage="1" errorTitle="Eingabefehler" error="Wert darf nicht höher sein als Summer gesichrter Abstellplätze (Summe A6a bis A6c)." sqref="M51:N51" xr:uid="{093A81FF-A22E-4FBB-A777-62F55F447B97}">
      <formula1>0</formula1>
      <formula2>IF(VA_KOSTENANALYSE&lt;2,SUM(N48:N50),SUM(M48:M50))</formula2>
    </dataValidation>
  </dataValidations>
  <hyperlinks>
    <hyperlink ref="Q166:R166" location="'D ▪ Kostenanalyse'!M51" tooltip="Hier klicken, um zu Eingabe A7 zu kommen (Stellplätze mit Nutzungsentgelt)." display="Klick = A7 bearbeiten" xr:uid="{F595532A-230F-4EC0-BAFE-0BD307FBF609}"/>
  </hyperlinks>
  <printOptions horizontalCentered="1"/>
  <pageMargins left="0.70866141732283472" right="0.70866141732283472" top="0.78740157480314965" bottom="0.78740157480314965" header="0.39370078740157483" footer="0.27559055118110237"/>
  <pageSetup paperSize="9" scale="47" orientation="portrait" errors="blank" r:id="rId1"/>
  <headerFooter scaleWithDoc="0">
    <oddHeader>&amp;L&amp;13Kostenanalyse&amp;R&amp;G</oddHeader>
    <oddFooter>&amp;L&amp;G&amp;C&amp;6&amp;U&amp;K02+000Infostelle Fahrradparken&amp;18&amp;U&amp;K01+000
&amp;9https://radparken.info&amp;R&amp;KA5A5A5&amp;"Calibri"&amp;6Druck am: &amp;D
Tabellenreiter: &amp;A
Version: 3.6 (08.01.2025)</oddFooter>
  </headerFooter>
  <ignoredErrors>
    <ignoredError sqref="S128" formula="1"/>
    <ignoredError sqref="D51" formulaRange="1"/>
  </ignoredErrors>
  <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53AD0-9C0C-421E-B047-2DFA062BDA04}">
  <sheetPr codeName="Sheet8">
    <tabColor theme="6" tint="0.59999389629810485"/>
    <pageSetUpPr autoPageBreaks="0" fitToPage="1"/>
  </sheetPr>
  <dimension ref="A1:AA97"/>
  <sheetViews>
    <sheetView showGridLines="0" showRowColHeaders="0" zoomScaleNormal="100" workbookViewId="0">
      <pane ySplit="3" topLeftCell="A4" activePane="bottomLeft" state="frozen"/>
      <selection activeCell="A4" sqref="A4"/>
      <selection pane="bottomLeft" activeCell="A4" sqref="A4"/>
    </sheetView>
  </sheetViews>
  <sheetFormatPr baseColWidth="10" defaultColWidth="18.6640625" defaultRowHeight="18" customHeight="1"/>
  <cols>
    <col min="1" max="1" width="1.6640625" style="203" customWidth="1"/>
    <col min="2" max="2" width="3.6640625" style="203" customWidth="1"/>
    <col min="3" max="20" width="9.6640625" style="203" customWidth="1"/>
    <col min="21" max="21" width="3.6640625" style="203" customWidth="1"/>
    <col min="22" max="22" width="1.6640625" style="203" customWidth="1"/>
    <col min="23" max="23" width="0.83203125" style="203" customWidth="1"/>
    <col min="24" max="24" width="7.1640625" style="203" customWidth="1"/>
    <col min="25" max="16384" width="18.6640625" style="203"/>
  </cols>
  <sheetData>
    <row r="1" spans="1:27" ht="37.5" customHeight="1">
      <c r="A1" s="1036" t="s">
        <v>178</v>
      </c>
      <c r="B1" s="1036"/>
      <c r="C1" s="506" t="str">
        <f>TBS_FH</f>
        <v/>
      </c>
      <c r="D1" s="504"/>
      <c r="E1" s="504"/>
      <c r="F1" s="504"/>
      <c r="G1" s="504"/>
      <c r="H1" s="504"/>
      <c r="I1" s="504"/>
      <c r="J1" s="504"/>
      <c r="K1" s="504"/>
      <c r="L1" s="504"/>
      <c r="M1" s="504"/>
      <c r="N1" s="504"/>
      <c r="O1" s="504"/>
      <c r="P1" s="504"/>
      <c r="Q1" s="504"/>
      <c r="R1" s="1037" t="str">
        <f>"Ermittelter Baubedarf:"&amp;CHAR(10)&amp;VA_BBGESAMT</f>
        <v>Ermittelter Baubedarf:
es fehlen noch Daten</v>
      </c>
      <c r="S1" s="1038"/>
      <c r="T1" s="1038"/>
      <c r="U1" s="507"/>
      <c r="Y1" s="1034" t="s">
        <v>779</v>
      </c>
      <c r="Z1" s="1034"/>
      <c r="AA1" s="1034"/>
    </row>
    <row r="2" spans="1:27" ht="4" customHeight="1">
      <c r="A2" s="204"/>
      <c r="B2" s="205"/>
      <c r="C2" s="205"/>
      <c r="D2" s="204"/>
      <c r="E2" s="204"/>
      <c r="F2" s="204"/>
      <c r="G2" s="204"/>
      <c r="H2" s="204"/>
      <c r="I2" s="204"/>
      <c r="J2" s="204"/>
      <c r="K2" s="204"/>
      <c r="L2" s="204"/>
      <c r="M2" s="204"/>
      <c r="N2" s="204"/>
      <c r="O2" s="204"/>
      <c r="P2" s="204"/>
      <c r="Q2" s="204"/>
      <c r="R2" s="204"/>
      <c r="S2" s="204"/>
      <c r="T2" s="204"/>
      <c r="U2" s="204"/>
      <c r="V2" s="204"/>
      <c r="W2" s="204"/>
    </row>
    <row r="3" spans="1:27" ht="4" customHeight="1">
      <c r="B3" s="206"/>
      <c r="C3" s="206"/>
      <c r="W3" s="204"/>
    </row>
    <row r="4" spans="1:27" ht="14" customHeight="1" thickBot="1">
      <c r="W4" s="204"/>
    </row>
    <row r="5" spans="1:27" ht="14" customHeight="1">
      <c r="B5" s="242"/>
      <c r="C5" s="243"/>
      <c r="D5" s="243"/>
      <c r="E5" s="243"/>
      <c r="F5" s="243"/>
      <c r="G5" s="243"/>
      <c r="H5" s="243"/>
      <c r="I5" s="243"/>
      <c r="J5" s="243"/>
      <c r="K5" s="243"/>
      <c r="L5" s="243"/>
      <c r="M5" s="243"/>
      <c r="N5" s="243"/>
      <c r="O5" s="243"/>
      <c r="P5" s="243"/>
      <c r="Q5" s="243"/>
      <c r="R5" s="243"/>
      <c r="S5" s="243"/>
      <c r="T5" s="243"/>
      <c r="U5" s="244"/>
      <c r="W5" s="204"/>
    </row>
    <row r="6" spans="1:27" ht="18" customHeight="1">
      <c r="B6" s="245"/>
      <c r="C6" s="202" t="s">
        <v>1066</v>
      </c>
      <c r="D6" s="202"/>
      <c r="E6" s="202"/>
      <c r="F6" s="202"/>
      <c r="G6" s="202"/>
      <c r="H6" s="202"/>
      <c r="I6" s="202"/>
      <c r="J6" s="202"/>
      <c r="K6" s="202"/>
      <c r="L6" s="202"/>
      <c r="M6" s="202"/>
      <c r="N6" s="202"/>
      <c r="O6" s="202"/>
      <c r="P6" s="202"/>
      <c r="Q6" s="202"/>
      <c r="R6" s="202"/>
      <c r="S6" s="202"/>
      <c r="T6" s="202"/>
      <c r="U6" s="246"/>
      <c r="W6" s="204"/>
    </row>
    <row r="7" spans="1:27" ht="18" customHeight="1">
      <c r="B7" s="245"/>
      <c r="C7" s="202" t="s">
        <v>615</v>
      </c>
      <c r="D7" s="202"/>
      <c r="E7" s="202"/>
      <c r="F7" s="202"/>
      <c r="G7" s="202"/>
      <c r="H7" s="202"/>
      <c r="I7" s="202"/>
      <c r="J7" s="202"/>
      <c r="K7" s="202"/>
      <c r="L7" s="202"/>
      <c r="M7" s="202"/>
      <c r="N7" s="202"/>
      <c r="O7" s="202"/>
      <c r="P7" s="202"/>
      <c r="Q7" s="202"/>
      <c r="R7" s="202"/>
      <c r="S7" s="202"/>
      <c r="T7" s="202"/>
      <c r="U7" s="246"/>
      <c r="W7" s="204"/>
    </row>
    <row r="8" spans="1:27" ht="18" customHeight="1">
      <c r="B8" s="245"/>
      <c r="C8" s="202" t="s">
        <v>616</v>
      </c>
      <c r="D8" s="202"/>
      <c r="E8" s="202"/>
      <c r="F8" s="202"/>
      <c r="G8" s="202"/>
      <c r="H8" s="202"/>
      <c r="I8" s="202"/>
      <c r="J8" s="202"/>
      <c r="K8" s="202"/>
      <c r="L8" s="202"/>
      <c r="M8" s="202"/>
      <c r="N8" s="202"/>
      <c r="O8" s="202"/>
      <c r="P8" s="202"/>
      <c r="Q8" s="202"/>
      <c r="R8" s="202"/>
      <c r="S8" s="202"/>
      <c r="T8" s="202"/>
      <c r="U8" s="246"/>
      <c r="W8" s="204"/>
    </row>
    <row r="9" spans="1:27" ht="6" customHeight="1">
      <c r="B9" s="245"/>
      <c r="C9" s="202"/>
      <c r="D9" s="202"/>
      <c r="E9" s="202"/>
      <c r="F9" s="202"/>
      <c r="G9" s="202"/>
      <c r="H9" s="202"/>
      <c r="I9" s="202"/>
      <c r="J9" s="202"/>
      <c r="K9" s="202"/>
      <c r="L9" s="202"/>
      <c r="M9" s="202"/>
      <c r="N9" s="202"/>
      <c r="O9" s="202"/>
      <c r="P9" s="202"/>
      <c r="Q9" s="202"/>
      <c r="R9" s="202"/>
      <c r="S9" s="202"/>
      <c r="T9" s="202"/>
      <c r="U9" s="246"/>
      <c r="W9" s="204"/>
    </row>
    <row r="10" spans="1:27" ht="18" customHeight="1">
      <c r="B10" s="245"/>
      <c r="C10" s="202" t="s">
        <v>904</v>
      </c>
      <c r="D10" s="202"/>
      <c r="E10" s="202"/>
      <c r="F10" s="202"/>
      <c r="G10" s="202"/>
      <c r="H10" s="202"/>
      <c r="I10" s="202"/>
      <c r="J10" s="202"/>
      <c r="K10" s="202"/>
      <c r="L10" s="202"/>
      <c r="M10" s="202"/>
      <c r="N10" s="202"/>
      <c r="O10" s="202"/>
      <c r="P10" s="202"/>
      <c r="Q10" s="202"/>
      <c r="R10" s="202"/>
      <c r="S10" s="202"/>
      <c r="T10" s="202"/>
      <c r="U10" s="246"/>
      <c r="W10" s="204"/>
    </row>
    <row r="11" spans="1:27" ht="18" customHeight="1">
      <c r="B11" s="245"/>
      <c r="C11" s="202" t="s">
        <v>908</v>
      </c>
      <c r="D11" s="202"/>
      <c r="E11" s="202"/>
      <c r="F11" s="202"/>
      <c r="G11" s="202"/>
      <c r="H11" s="202"/>
      <c r="I11" s="202"/>
      <c r="J11" s="202"/>
      <c r="K11" s="202"/>
      <c r="L11" s="202"/>
      <c r="M11" s="202"/>
      <c r="N11" s="202"/>
      <c r="O11" s="202"/>
      <c r="P11" s="202"/>
      <c r="Q11" s="202"/>
      <c r="R11" s="202"/>
      <c r="S11" s="202"/>
      <c r="T11" s="202"/>
      <c r="U11" s="246"/>
      <c r="W11" s="204"/>
    </row>
    <row r="12" spans="1:27" ht="18" customHeight="1">
      <c r="B12" s="245"/>
      <c r="C12" s="202" t="s">
        <v>905</v>
      </c>
      <c r="D12" s="202"/>
      <c r="E12" s="202"/>
      <c r="F12" s="202"/>
      <c r="G12" s="202"/>
      <c r="H12" s="202"/>
      <c r="I12" s="202"/>
      <c r="J12" s="202"/>
      <c r="K12" s="202"/>
      <c r="L12" s="202"/>
      <c r="M12" s="202"/>
      <c r="N12" s="202"/>
      <c r="O12" s="202"/>
      <c r="P12" s="202"/>
      <c r="Q12" s="202"/>
      <c r="R12" s="202"/>
      <c r="S12" s="202"/>
      <c r="T12" s="202"/>
      <c r="U12" s="246"/>
      <c r="W12" s="204"/>
    </row>
    <row r="13" spans="1:27" ht="6" customHeight="1">
      <c r="B13" s="245"/>
      <c r="C13" s="202"/>
      <c r="D13" s="202"/>
      <c r="E13" s="202"/>
      <c r="F13" s="202"/>
      <c r="G13" s="202"/>
      <c r="H13" s="202"/>
      <c r="I13" s="202"/>
      <c r="J13" s="202"/>
      <c r="K13" s="202"/>
      <c r="L13" s="202"/>
      <c r="M13" s="202"/>
      <c r="N13" s="202"/>
      <c r="O13" s="202"/>
      <c r="P13" s="202"/>
      <c r="Q13" s="202"/>
      <c r="R13" s="202"/>
      <c r="S13" s="202"/>
      <c r="T13" s="202"/>
      <c r="U13" s="246"/>
      <c r="W13" s="204"/>
    </row>
    <row r="14" spans="1:27" ht="18" customHeight="1">
      <c r="B14" s="245"/>
      <c r="C14" s="202" t="s">
        <v>915</v>
      </c>
      <c r="D14" s="202"/>
      <c r="E14" s="202"/>
      <c r="F14" s="202"/>
      <c r="G14" s="202"/>
      <c r="H14" s="202"/>
      <c r="I14" s="202"/>
      <c r="J14" s="202"/>
      <c r="K14" s="202"/>
      <c r="L14" s="202"/>
      <c r="M14" s="202"/>
      <c r="N14" s="202"/>
      <c r="O14" s="202"/>
      <c r="P14" s="202"/>
      <c r="Q14" s="202"/>
      <c r="R14" s="202"/>
      <c r="S14" s="202"/>
      <c r="T14" s="202"/>
      <c r="U14" s="246"/>
      <c r="W14" s="204"/>
    </row>
    <row r="15" spans="1:27" ht="14" customHeight="1" thickBot="1">
      <c r="B15" s="247"/>
      <c r="C15" s="248"/>
      <c r="D15" s="248"/>
      <c r="E15" s="248"/>
      <c r="F15" s="248"/>
      <c r="G15" s="248"/>
      <c r="H15" s="248"/>
      <c r="I15" s="248"/>
      <c r="J15" s="248"/>
      <c r="K15" s="248"/>
      <c r="L15" s="248"/>
      <c r="M15" s="248"/>
      <c r="N15" s="248"/>
      <c r="O15" s="248"/>
      <c r="P15" s="248"/>
      <c r="Q15" s="248"/>
      <c r="R15" s="248"/>
      <c r="S15" s="248"/>
      <c r="T15" s="248"/>
      <c r="U15" s="249"/>
      <c r="W15" s="204"/>
    </row>
    <row r="16" spans="1:27" ht="18" customHeight="1" thickBot="1">
      <c r="W16" s="204"/>
    </row>
    <row r="17" spans="2:27" ht="32" customHeight="1" thickBot="1">
      <c r="B17" s="1700" t="s">
        <v>659</v>
      </c>
      <c r="C17" s="1701"/>
      <c r="D17" s="1701"/>
      <c r="E17" s="1701"/>
      <c r="F17" s="1701"/>
      <c r="G17" s="1701"/>
      <c r="H17" s="1701"/>
      <c r="I17" s="1701"/>
      <c r="J17" s="1701"/>
      <c r="K17" s="1701"/>
      <c r="L17" s="1701"/>
      <c r="M17" s="1701"/>
      <c r="N17" s="1701"/>
      <c r="O17" s="1701"/>
      <c r="P17" s="1701"/>
      <c r="Q17" s="1701"/>
      <c r="R17" s="1701"/>
      <c r="S17" s="1701"/>
      <c r="T17" s="1701"/>
      <c r="U17" s="1702"/>
      <c r="W17" s="204"/>
    </row>
    <row r="18" spans="2:27" ht="18" customHeight="1" thickBot="1">
      <c r="W18" s="204"/>
      <c r="X18" s="504"/>
    </row>
    <row r="19" spans="2:27" ht="6" customHeight="1">
      <c r="B19" s="674"/>
      <c r="C19" s="675"/>
      <c r="D19" s="654"/>
      <c r="E19" s="654"/>
      <c r="F19" s="654"/>
      <c r="G19" s="654"/>
      <c r="H19" s="654"/>
      <c r="I19" s="654"/>
      <c r="J19" s="654"/>
      <c r="K19" s="654"/>
      <c r="L19" s="654"/>
      <c r="M19" s="654"/>
      <c r="N19" s="654"/>
      <c r="O19" s="654"/>
      <c r="P19" s="654"/>
      <c r="Q19" s="654"/>
      <c r="R19" s="654"/>
      <c r="S19" s="654"/>
      <c r="T19" s="654"/>
      <c r="U19" s="676"/>
      <c r="W19" s="204"/>
      <c r="X19" s="504"/>
    </row>
    <row r="20" spans="2:27" ht="24" customHeight="1">
      <c r="B20" s="640"/>
      <c r="C20" s="641" t="s">
        <v>321</v>
      </c>
      <c r="D20" s="642" t="s">
        <v>502</v>
      </c>
      <c r="E20" s="643"/>
      <c r="F20" s="643"/>
      <c r="G20" s="643"/>
      <c r="H20" s="644"/>
      <c r="I20" s="644"/>
      <c r="J20" s="644"/>
      <c r="K20" s="645" t="s">
        <v>503</v>
      </c>
      <c r="L20" s="645" t="s">
        <v>504</v>
      </c>
      <c r="M20" s="645" t="s">
        <v>505</v>
      </c>
      <c r="N20" s="646"/>
      <c r="O20" s="647"/>
      <c r="P20" s="647"/>
      <c r="Q20" s="644"/>
      <c r="R20" s="644"/>
      <c r="S20" s="648"/>
      <c r="T20" s="649" t="s">
        <v>903</v>
      </c>
      <c r="U20" s="650"/>
      <c r="W20" s="204"/>
      <c r="X20" s="504"/>
    </row>
    <row r="21" spans="2:27" ht="6" customHeight="1">
      <c r="B21" s="527"/>
      <c r="C21" s="523"/>
      <c r="D21" s="523"/>
      <c r="E21" s="528"/>
      <c r="F21" s="528"/>
      <c r="G21" s="528"/>
      <c r="H21" s="528"/>
      <c r="I21" s="528"/>
      <c r="J21" s="528"/>
      <c r="K21" s="528"/>
      <c r="L21" s="528"/>
      <c r="N21" s="561"/>
      <c r="O21" s="561"/>
      <c r="P21" s="561"/>
      <c r="Q21" s="528"/>
      <c r="R21" s="528"/>
      <c r="S21" s="528"/>
      <c r="T21" s="528"/>
      <c r="U21" s="529"/>
      <c r="W21" s="204"/>
      <c r="X21" s="504"/>
      <c r="Z21" s="5"/>
      <c r="AA21" s="5"/>
    </row>
    <row r="22" spans="2:27" ht="19.5" customHeight="1">
      <c r="B22" s="527"/>
      <c r="C22" s="547">
        <v>1</v>
      </c>
      <c r="D22" s="1608" t="s">
        <v>593</v>
      </c>
      <c r="E22" s="1608"/>
      <c r="F22" s="1608"/>
      <c r="G22" s="1608"/>
      <c r="H22" s="1608"/>
      <c r="I22" s="1609"/>
      <c r="J22" s="563"/>
      <c r="K22" s="549"/>
      <c r="L22" s="548"/>
      <c r="M22" s="550"/>
      <c r="N22" s="1611" t="s">
        <v>598</v>
      </c>
      <c r="O22" s="1633"/>
      <c r="P22" s="1689"/>
      <c r="Q22" s="1690"/>
      <c r="R22" s="1690"/>
      <c r="S22" s="1691"/>
      <c r="T22" s="971"/>
      <c r="U22" s="529"/>
      <c r="W22" s="204"/>
      <c r="X22" s="504"/>
      <c r="Z22" s="5"/>
      <c r="AA22" s="5"/>
    </row>
    <row r="23" spans="2:27" ht="19.5" customHeight="1">
      <c r="B23" s="527"/>
      <c r="C23" s="551">
        <v>2</v>
      </c>
      <c r="D23" s="1593" t="s">
        <v>594</v>
      </c>
      <c r="E23" s="1593"/>
      <c r="F23" s="1593"/>
      <c r="G23" s="1593"/>
      <c r="H23" s="1593"/>
      <c r="I23" s="1594"/>
      <c r="J23" s="570"/>
      <c r="K23" s="546"/>
      <c r="L23" s="546"/>
      <c r="M23" s="546"/>
      <c r="N23" s="1615" t="s">
        <v>599</v>
      </c>
      <c r="O23" s="1620"/>
      <c r="P23" s="1604"/>
      <c r="Q23" s="1605"/>
      <c r="R23" s="1605"/>
      <c r="S23" s="1606"/>
      <c r="T23" s="972"/>
      <c r="U23" s="529"/>
      <c r="W23" s="204"/>
      <c r="X23" s="504"/>
    </row>
    <row r="24" spans="2:27" ht="20" customHeight="1">
      <c r="B24" s="527"/>
      <c r="C24" s="551">
        <v>3</v>
      </c>
      <c r="D24" s="1593" t="s">
        <v>512</v>
      </c>
      <c r="E24" s="1593"/>
      <c r="F24" s="1593"/>
      <c r="G24" s="1593"/>
      <c r="H24" s="1593"/>
      <c r="I24" s="1593"/>
      <c r="J24" s="546"/>
      <c r="K24" s="568"/>
      <c r="L24" s="569"/>
      <c r="M24" s="569"/>
      <c r="N24" s="1685" t="s">
        <v>568</v>
      </c>
      <c r="O24" s="1620"/>
      <c r="P24" s="1604"/>
      <c r="Q24" s="1605"/>
      <c r="R24" s="1605"/>
      <c r="S24" s="1606"/>
      <c r="T24" s="972"/>
      <c r="U24" s="529"/>
      <c r="W24" s="204"/>
      <c r="X24" s="504"/>
    </row>
    <row r="25" spans="2:27" ht="20" customHeight="1">
      <c r="B25" s="527"/>
      <c r="C25" s="1565">
        <v>4</v>
      </c>
      <c r="D25" s="1569" t="s">
        <v>513</v>
      </c>
      <c r="E25" s="1570"/>
      <c r="F25" s="1570"/>
      <c r="G25" s="1570"/>
      <c r="H25" s="1570"/>
      <c r="I25" s="1698"/>
      <c r="J25" s="1567"/>
      <c r="K25" s="638"/>
      <c r="L25" s="584"/>
      <c r="M25" s="1596" t="s">
        <v>569</v>
      </c>
      <c r="N25" s="1596"/>
      <c r="O25" s="1597"/>
      <c r="P25" s="1692"/>
      <c r="Q25" s="1692"/>
      <c r="R25" s="1692"/>
      <c r="S25" s="1693"/>
      <c r="T25" s="973"/>
      <c r="U25" s="529"/>
      <c r="W25" s="204"/>
      <c r="X25" s="504"/>
    </row>
    <row r="26" spans="2:27" ht="19.5" customHeight="1">
      <c r="B26" s="527"/>
      <c r="C26" s="1566"/>
      <c r="D26" s="1571"/>
      <c r="E26" s="1572"/>
      <c r="F26" s="1572"/>
      <c r="G26" s="1572"/>
      <c r="H26" s="1572"/>
      <c r="I26" s="1699"/>
      <c r="J26" s="1568"/>
      <c r="K26" s="558"/>
      <c r="L26" s="558"/>
      <c r="M26" s="558"/>
      <c r="N26" s="1687" t="s">
        <v>570</v>
      </c>
      <c r="O26" s="1688"/>
      <c r="P26" s="1694"/>
      <c r="Q26" s="1694"/>
      <c r="R26" s="1694"/>
      <c r="S26" s="1695"/>
      <c r="T26" s="974"/>
      <c r="U26" s="529"/>
      <c r="W26" s="204"/>
      <c r="X26" s="504"/>
    </row>
    <row r="27" spans="2:27" ht="20" customHeight="1">
      <c r="B27" s="527"/>
      <c r="C27" s="551">
        <v>5</v>
      </c>
      <c r="D27" s="1593" t="s">
        <v>514</v>
      </c>
      <c r="E27" s="1593"/>
      <c r="F27" s="1593"/>
      <c r="G27" s="1593"/>
      <c r="H27" s="1593"/>
      <c r="I27" s="1594"/>
      <c r="J27" s="569"/>
      <c r="K27" s="569"/>
      <c r="L27" s="569"/>
      <c r="M27" s="569"/>
      <c r="N27" s="612"/>
      <c r="O27" s="614" t="s">
        <v>597</v>
      </c>
      <c r="P27" s="1574"/>
      <c r="Q27" s="1575"/>
      <c r="R27" s="1575"/>
      <c r="S27" s="1576"/>
      <c r="T27" s="972"/>
      <c r="U27" s="529"/>
      <c r="W27" s="204"/>
      <c r="X27" s="504"/>
    </row>
    <row r="28" spans="2:27" ht="20" customHeight="1">
      <c r="B28" s="527"/>
      <c r="C28" s="552">
        <v>6</v>
      </c>
      <c r="D28" s="1595" t="s">
        <v>515</v>
      </c>
      <c r="E28" s="1595"/>
      <c r="F28" s="1595"/>
      <c r="G28" s="1595"/>
      <c r="H28" s="1595"/>
      <c r="I28" s="1595"/>
      <c r="J28" s="553"/>
      <c r="K28" s="573"/>
      <c r="L28" s="574"/>
      <c r="M28" s="574"/>
      <c r="N28" s="1577"/>
      <c r="O28" s="1578"/>
      <c r="P28" s="1579"/>
      <c r="Q28" s="1696"/>
      <c r="R28" s="1697"/>
      <c r="S28" s="1697"/>
      <c r="T28" s="975"/>
      <c r="U28" s="529"/>
      <c r="W28" s="204"/>
      <c r="X28" s="504"/>
    </row>
    <row r="29" spans="2:27" ht="12" customHeight="1">
      <c r="B29" s="531"/>
      <c r="C29" s="532"/>
      <c r="D29" s="543"/>
      <c r="E29" s="543"/>
      <c r="F29" s="543"/>
      <c r="G29" s="543"/>
      <c r="H29" s="543"/>
      <c r="I29" s="543"/>
      <c r="J29" s="532"/>
      <c r="K29" s="532"/>
      <c r="L29" s="532"/>
      <c r="M29" s="532"/>
      <c r="N29" s="562"/>
      <c r="O29" s="562"/>
      <c r="P29" s="562"/>
      <c r="Q29" s="532"/>
      <c r="R29" s="532"/>
      <c r="S29" s="532"/>
      <c r="T29" s="532"/>
      <c r="U29" s="533"/>
      <c r="W29" s="204"/>
      <c r="X29" s="504"/>
    </row>
    <row r="30" spans="2:27" ht="24" customHeight="1">
      <c r="B30" s="524"/>
      <c r="C30" s="537" t="s">
        <v>331</v>
      </c>
      <c r="D30" s="426" t="s">
        <v>506</v>
      </c>
      <c r="E30" s="544"/>
      <c r="F30" s="544"/>
      <c r="G30" s="544"/>
      <c r="H30" s="545"/>
      <c r="I30" s="545"/>
      <c r="J30" s="534"/>
      <c r="K30" s="578" t="s">
        <v>503</v>
      </c>
      <c r="L30" s="578" t="s">
        <v>504</v>
      </c>
      <c r="M30" s="578" t="s">
        <v>505</v>
      </c>
      <c r="N30" s="559"/>
      <c r="O30" s="560"/>
      <c r="P30" s="560"/>
      <c r="Q30" s="534"/>
      <c r="R30" s="534"/>
      <c r="S30" s="530"/>
      <c r="T30" s="609" t="s">
        <v>903</v>
      </c>
      <c r="U30" s="526"/>
      <c r="W30" s="204"/>
      <c r="X30" s="504"/>
    </row>
    <row r="31" spans="2:27" ht="6" customHeight="1">
      <c r="B31" s="527"/>
      <c r="C31" s="528"/>
      <c r="D31" s="536"/>
      <c r="E31" s="536"/>
      <c r="F31" s="536"/>
      <c r="G31" s="536"/>
      <c r="H31" s="536"/>
      <c r="I31" s="536"/>
      <c r="J31" s="528"/>
      <c r="K31" s="528"/>
      <c r="L31" s="528"/>
      <c r="M31" s="528"/>
      <c r="N31" s="561"/>
      <c r="O31" s="561"/>
      <c r="P31" s="561"/>
      <c r="Q31" s="528"/>
      <c r="R31" s="528"/>
      <c r="S31" s="528"/>
      <c r="T31" s="528"/>
      <c r="U31" s="529"/>
      <c r="W31" s="204"/>
      <c r="X31" s="504"/>
    </row>
    <row r="32" spans="2:27" ht="20" customHeight="1">
      <c r="B32" s="527"/>
      <c r="C32" s="547">
        <v>1</v>
      </c>
      <c r="D32" s="1608" t="s">
        <v>516</v>
      </c>
      <c r="E32" s="1608"/>
      <c r="F32" s="1608"/>
      <c r="G32" s="1608"/>
      <c r="H32" s="1608"/>
      <c r="I32" s="1609"/>
      <c r="J32" s="563"/>
      <c r="K32" s="549"/>
      <c r="L32" s="548"/>
      <c r="M32" s="550"/>
      <c r="N32" s="1610"/>
      <c r="O32" s="1610"/>
      <c r="P32" s="1611"/>
      <c r="Q32" s="1612"/>
      <c r="R32" s="1613"/>
      <c r="S32" s="1613"/>
      <c r="T32" s="971"/>
      <c r="U32" s="529"/>
      <c r="W32" s="204"/>
      <c r="X32" s="504"/>
    </row>
    <row r="33" spans="2:24" ht="20" customHeight="1">
      <c r="B33" s="527"/>
      <c r="C33" s="552">
        <v>2</v>
      </c>
      <c r="D33" s="1595" t="s">
        <v>517</v>
      </c>
      <c r="E33" s="1595"/>
      <c r="F33" s="1595"/>
      <c r="G33" s="1595"/>
      <c r="H33" s="1595"/>
      <c r="I33" s="1595"/>
      <c r="J33" s="553"/>
      <c r="K33" s="573"/>
      <c r="L33" s="574"/>
      <c r="M33" s="1598" t="s">
        <v>571</v>
      </c>
      <c r="N33" s="1598"/>
      <c r="O33" s="1577"/>
      <c r="P33" s="1621"/>
      <c r="Q33" s="1622"/>
      <c r="R33" s="1622"/>
      <c r="S33" s="1623"/>
      <c r="T33" s="975"/>
      <c r="U33" s="529"/>
      <c r="W33" s="204"/>
      <c r="X33" s="504"/>
    </row>
    <row r="34" spans="2:24" ht="12" customHeight="1">
      <c r="B34" s="531"/>
      <c r="C34" s="374"/>
      <c r="D34" s="543"/>
      <c r="E34" s="543"/>
      <c r="F34" s="543"/>
      <c r="G34" s="543"/>
      <c r="H34" s="543"/>
      <c r="I34" s="543"/>
      <c r="J34" s="532"/>
      <c r="K34" s="532"/>
      <c r="L34" s="532"/>
      <c r="M34" s="532"/>
      <c r="N34" s="562"/>
      <c r="O34" s="562"/>
      <c r="P34" s="562"/>
      <c r="Q34" s="532"/>
      <c r="R34" s="532"/>
      <c r="S34" s="532"/>
      <c r="T34" s="532"/>
      <c r="U34" s="533"/>
      <c r="W34" s="204"/>
      <c r="X34" s="504"/>
    </row>
    <row r="35" spans="2:24" ht="24" customHeight="1">
      <c r="B35" s="524"/>
      <c r="C35" s="537" t="s">
        <v>336</v>
      </c>
      <c r="D35" s="426" t="s">
        <v>356</v>
      </c>
      <c r="E35" s="544"/>
      <c r="F35" s="544"/>
      <c r="G35" s="544"/>
      <c r="H35" s="545"/>
      <c r="I35" s="545"/>
      <c r="J35" s="534"/>
      <c r="K35" s="578" t="s">
        <v>503</v>
      </c>
      <c r="L35" s="578" t="s">
        <v>504</v>
      </c>
      <c r="M35" s="578" t="s">
        <v>505</v>
      </c>
      <c r="N35" s="559"/>
      <c r="O35" s="560"/>
      <c r="P35" s="560"/>
      <c r="Q35" s="534"/>
      <c r="R35" s="534"/>
      <c r="S35" s="530"/>
      <c r="T35" s="609" t="s">
        <v>903</v>
      </c>
      <c r="U35" s="526"/>
      <c r="W35" s="204"/>
      <c r="X35" s="504"/>
    </row>
    <row r="36" spans="2:24" ht="6" customHeight="1">
      <c r="B36" s="527"/>
      <c r="C36" s="528"/>
      <c r="D36" s="536"/>
      <c r="E36" s="536"/>
      <c r="F36" s="536"/>
      <c r="G36" s="536"/>
      <c r="H36" s="536"/>
      <c r="I36" s="536"/>
      <c r="J36" s="528"/>
      <c r="K36" s="528"/>
      <c r="L36" s="528"/>
      <c r="M36" s="528"/>
      <c r="N36" s="561"/>
      <c r="O36" s="561"/>
      <c r="P36" s="561"/>
      <c r="Q36" s="528"/>
      <c r="R36" s="528"/>
      <c r="S36" s="528"/>
      <c r="T36" s="528"/>
      <c r="U36" s="529"/>
      <c r="W36" s="204"/>
      <c r="X36" s="504"/>
    </row>
    <row r="37" spans="2:24" ht="20" customHeight="1">
      <c r="B37" s="527"/>
      <c r="C37" s="547">
        <v>1</v>
      </c>
      <c r="D37" s="1608" t="s">
        <v>607</v>
      </c>
      <c r="E37" s="1608"/>
      <c r="F37" s="1608"/>
      <c r="G37" s="1608"/>
      <c r="H37" s="1608"/>
      <c r="I37" s="1609"/>
      <c r="J37" s="565"/>
      <c r="K37" s="565"/>
      <c r="L37" s="565"/>
      <c r="M37" s="565"/>
      <c r="N37" s="1624" t="s">
        <v>572</v>
      </c>
      <c r="O37" s="1624"/>
      <c r="P37" s="1618" t="str">
        <f>IF(OR(VA_KOSTENANALYSE_2=2,VA_KOSTENANALYSE_2=3),'D ▪ Kostenanalyse'!S108,"Eingaben prüfen")</f>
        <v>Eingaben prüfen</v>
      </c>
      <c r="Q37" s="1619"/>
      <c r="R37" s="1619"/>
      <c r="S37" s="1619"/>
      <c r="T37" s="976"/>
      <c r="U37" s="529"/>
      <c r="W37" s="204"/>
      <c r="X37" s="504"/>
    </row>
    <row r="38" spans="2:24" ht="20" customHeight="1">
      <c r="B38" s="527"/>
      <c r="C38" s="554" t="s">
        <v>362</v>
      </c>
      <c r="D38" s="1593" t="s">
        <v>519</v>
      </c>
      <c r="E38" s="1593"/>
      <c r="F38" s="1593"/>
      <c r="G38" s="1593"/>
      <c r="H38" s="1593"/>
      <c r="I38" s="1594"/>
      <c r="J38" s="570"/>
      <c r="K38" s="546"/>
      <c r="L38" s="546"/>
      <c r="M38" s="546"/>
      <c r="N38" s="1599" t="s">
        <v>573</v>
      </c>
      <c r="O38" s="1600"/>
      <c r="P38" s="1601"/>
      <c r="Q38" s="1602"/>
      <c r="R38" s="1602"/>
      <c r="S38" s="1603"/>
      <c r="T38" s="972"/>
      <c r="U38" s="529"/>
      <c r="W38" s="204"/>
      <c r="X38" s="504"/>
    </row>
    <row r="39" spans="2:24" ht="20" customHeight="1">
      <c r="B39" s="527"/>
      <c r="C39" s="551" t="s">
        <v>363</v>
      </c>
      <c r="D39" s="1593" t="s">
        <v>520</v>
      </c>
      <c r="E39" s="1593"/>
      <c r="F39" s="1593"/>
      <c r="G39" s="1593"/>
      <c r="H39" s="1593"/>
      <c r="I39" s="1594"/>
      <c r="J39" s="570"/>
      <c r="K39" s="546"/>
      <c r="L39" s="546"/>
      <c r="M39" s="546"/>
      <c r="N39" s="1599" t="s">
        <v>574</v>
      </c>
      <c r="O39" s="1600"/>
      <c r="P39" s="1604"/>
      <c r="Q39" s="1605"/>
      <c r="R39" s="1605"/>
      <c r="S39" s="1606"/>
      <c r="T39" s="972"/>
      <c r="U39" s="529"/>
      <c r="W39" s="204"/>
      <c r="X39" s="504"/>
    </row>
    <row r="40" spans="2:24" ht="20" customHeight="1">
      <c r="B40" s="527"/>
      <c r="C40" s="552">
        <v>3</v>
      </c>
      <c r="D40" s="1595" t="s">
        <v>521</v>
      </c>
      <c r="E40" s="1595"/>
      <c r="F40" s="1595"/>
      <c r="G40" s="1595"/>
      <c r="H40" s="1595"/>
      <c r="I40" s="1595"/>
      <c r="J40" s="553"/>
      <c r="K40" s="573"/>
      <c r="L40" s="574"/>
      <c r="M40" s="574"/>
      <c r="N40" s="1598" t="s">
        <v>575</v>
      </c>
      <c r="O40" s="1577"/>
      <c r="P40" s="1621"/>
      <c r="Q40" s="1622"/>
      <c r="R40" s="1622"/>
      <c r="S40" s="1623"/>
      <c r="T40" s="975"/>
      <c r="U40" s="529"/>
      <c r="W40" s="204"/>
      <c r="X40" s="504"/>
    </row>
    <row r="41" spans="2:24" ht="12" customHeight="1">
      <c r="B41" s="531"/>
      <c r="C41" s="532"/>
      <c r="D41" s="543"/>
      <c r="E41" s="543"/>
      <c r="F41" s="543"/>
      <c r="G41" s="543"/>
      <c r="H41" s="543"/>
      <c r="I41" s="543"/>
      <c r="J41" s="532"/>
      <c r="K41" s="532"/>
      <c r="L41" s="532"/>
      <c r="M41" s="532"/>
      <c r="N41" s="562"/>
      <c r="O41" s="562"/>
      <c r="P41" s="562"/>
      <c r="Q41" s="532"/>
      <c r="R41" s="532"/>
      <c r="S41" s="532"/>
      <c r="T41" s="532"/>
      <c r="U41" s="533"/>
      <c r="W41" s="204"/>
      <c r="X41" s="504"/>
    </row>
    <row r="42" spans="2:24" ht="24" customHeight="1">
      <c r="B42" s="524"/>
      <c r="C42" s="537" t="s">
        <v>339</v>
      </c>
      <c r="D42" s="426" t="s">
        <v>507</v>
      </c>
      <c r="E42" s="544"/>
      <c r="F42" s="544"/>
      <c r="G42" s="544"/>
      <c r="H42" s="545"/>
      <c r="I42" s="545"/>
      <c r="J42" s="534"/>
      <c r="K42" s="578" t="s">
        <v>503</v>
      </c>
      <c r="L42" s="578" t="s">
        <v>504</v>
      </c>
      <c r="M42" s="578" t="s">
        <v>505</v>
      </c>
      <c r="N42" s="559"/>
      <c r="O42" s="560"/>
      <c r="P42" s="560"/>
      <c r="Q42" s="534"/>
      <c r="R42" s="534"/>
      <c r="S42" s="530"/>
      <c r="T42" s="609" t="s">
        <v>903</v>
      </c>
      <c r="U42" s="526"/>
      <c r="W42" s="204"/>
      <c r="X42" s="504"/>
    </row>
    <row r="43" spans="2:24" ht="6" customHeight="1">
      <c r="B43" s="527"/>
      <c r="C43" s="528"/>
      <c r="D43" s="536"/>
      <c r="E43" s="536"/>
      <c r="F43" s="536"/>
      <c r="G43" s="536"/>
      <c r="H43" s="536"/>
      <c r="I43" s="536"/>
      <c r="J43" s="528"/>
      <c r="K43" s="528"/>
      <c r="L43" s="528"/>
      <c r="M43" s="528"/>
      <c r="N43" s="561"/>
      <c r="O43" s="561"/>
      <c r="P43" s="561"/>
      <c r="Q43" s="528"/>
      <c r="R43" s="528"/>
      <c r="S43" s="528"/>
      <c r="T43" s="528"/>
      <c r="U43" s="529"/>
      <c r="W43" s="204"/>
      <c r="X43" s="504"/>
    </row>
    <row r="44" spans="2:24" ht="20" customHeight="1">
      <c r="B44" s="527"/>
      <c r="C44" s="547">
        <v>1</v>
      </c>
      <c r="D44" s="1608" t="s">
        <v>522</v>
      </c>
      <c r="E44" s="1608"/>
      <c r="F44" s="1608"/>
      <c r="G44" s="1608"/>
      <c r="H44" s="1608"/>
      <c r="I44" s="1609"/>
      <c r="J44" s="563"/>
      <c r="K44" s="548"/>
      <c r="L44" s="548"/>
      <c r="M44" s="548"/>
      <c r="N44" s="1610"/>
      <c r="O44" s="1610"/>
      <c r="P44" s="1611"/>
      <c r="Q44" s="1612"/>
      <c r="R44" s="1613"/>
      <c r="S44" s="1613"/>
      <c r="T44" s="976"/>
      <c r="U44" s="529"/>
      <c r="W44" s="204"/>
      <c r="X44" s="504"/>
    </row>
    <row r="45" spans="2:24" ht="20" customHeight="1">
      <c r="B45" s="527"/>
      <c r="C45" s="551">
        <v>2</v>
      </c>
      <c r="D45" s="1593" t="s">
        <v>523</v>
      </c>
      <c r="E45" s="1593"/>
      <c r="F45" s="1593"/>
      <c r="G45" s="1593"/>
      <c r="H45" s="1593"/>
      <c r="I45" s="1594"/>
      <c r="J45" s="570"/>
      <c r="K45" s="546"/>
      <c r="L45" s="546"/>
      <c r="M45" s="546"/>
      <c r="N45" s="1614"/>
      <c r="O45" s="1614"/>
      <c r="P45" s="1615"/>
      <c r="Q45" s="1616"/>
      <c r="R45" s="1617"/>
      <c r="S45" s="1617"/>
      <c r="T45" s="972"/>
      <c r="U45" s="529"/>
      <c r="W45" s="204"/>
      <c r="X45" s="504"/>
    </row>
    <row r="46" spans="2:24" ht="20" customHeight="1">
      <c r="B46" s="527"/>
      <c r="C46" s="551">
        <v>3</v>
      </c>
      <c r="D46" s="1593" t="s">
        <v>524</v>
      </c>
      <c r="E46" s="1593"/>
      <c r="F46" s="1593"/>
      <c r="G46" s="1593"/>
      <c r="H46" s="1593"/>
      <c r="I46" s="1594"/>
      <c r="J46" s="570"/>
      <c r="K46" s="546"/>
      <c r="L46" s="546"/>
      <c r="M46" s="546"/>
      <c r="N46" s="1615" t="s">
        <v>600</v>
      </c>
      <c r="O46" s="1620"/>
      <c r="P46" s="1604"/>
      <c r="Q46" s="1605"/>
      <c r="R46" s="1605"/>
      <c r="S46" s="1606"/>
      <c r="T46" s="972"/>
      <c r="U46" s="529"/>
      <c r="W46" s="204"/>
      <c r="X46" s="504"/>
    </row>
    <row r="47" spans="2:24" ht="20" customHeight="1">
      <c r="B47" s="527"/>
      <c r="C47" s="552">
        <v>4</v>
      </c>
      <c r="D47" s="1595" t="s">
        <v>525</v>
      </c>
      <c r="E47" s="1595"/>
      <c r="F47" s="1595"/>
      <c r="G47" s="1595"/>
      <c r="H47" s="1595"/>
      <c r="I47" s="1650"/>
      <c r="J47" s="572"/>
      <c r="K47" s="553"/>
      <c r="L47" s="553"/>
      <c r="M47" s="553"/>
      <c r="N47" s="1579" t="s">
        <v>600</v>
      </c>
      <c r="O47" s="1577"/>
      <c r="P47" s="1621"/>
      <c r="Q47" s="1622"/>
      <c r="R47" s="1622"/>
      <c r="S47" s="1623"/>
      <c r="T47" s="975"/>
      <c r="U47" s="529"/>
      <c r="W47" s="204"/>
      <c r="X47" s="504"/>
    </row>
    <row r="48" spans="2:24" ht="12" customHeight="1">
      <c r="B48" s="531"/>
      <c r="C48" s="532"/>
      <c r="D48" s="543"/>
      <c r="E48" s="543"/>
      <c r="F48" s="543"/>
      <c r="G48" s="543"/>
      <c r="H48" s="543"/>
      <c r="I48" s="543"/>
      <c r="J48" s="532"/>
      <c r="K48" s="532"/>
      <c r="L48" s="532"/>
      <c r="M48" s="532"/>
      <c r="N48" s="562"/>
      <c r="O48" s="562"/>
      <c r="P48" s="562"/>
      <c r="Q48" s="532"/>
      <c r="R48" s="532"/>
      <c r="S48" s="532"/>
      <c r="T48" s="532"/>
      <c r="U48" s="533"/>
      <c r="W48" s="204"/>
      <c r="X48" s="504"/>
    </row>
    <row r="49" spans="2:24" ht="24" customHeight="1">
      <c r="B49" s="524"/>
      <c r="C49" s="537" t="s">
        <v>346</v>
      </c>
      <c r="D49" s="426" t="s">
        <v>508</v>
      </c>
      <c r="E49" s="544"/>
      <c r="F49" s="544"/>
      <c r="G49" s="544"/>
      <c r="H49" s="545"/>
      <c r="I49" s="545"/>
      <c r="J49" s="534"/>
      <c r="K49" s="530"/>
      <c r="L49" s="530"/>
      <c r="M49" s="530"/>
      <c r="N49" s="559"/>
      <c r="O49" s="560"/>
      <c r="P49" s="560"/>
      <c r="Q49" s="534"/>
      <c r="R49" s="534"/>
      <c r="S49" s="530"/>
      <c r="T49" s="609" t="s">
        <v>903</v>
      </c>
      <c r="U49" s="526"/>
      <c r="W49" s="204"/>
      <c r="X49" s="504"/>
    </row>
    <row r="50" spans="2:24" ht="6" customHeight="1">
      <c r="B50" s="527"/>
      <c r="C50" s="390"/>
      <c r="D50" s="536"/>
      <c r="E50" s="536"/>
      <c r="F50" s="536"/>
      <c r="G50" s="536"/>
      <c r="H50" s="536"/>
      <c r="I50" s="536"/>
      <c r="J50" s="528"/>
      <c r="K50" s="528"/>
      <c r="L50" s="528"/>
      <c r="M50" s="528"/>
      <c r="N50" s="561"/>
      <c r="O50" s="561"/>
      <c r="P50" s="562"/>
      <c r="Q50" s="532"/>
      <c r="R50" s="532"/>
      <c r="S50" s="532"/>
      <c r="T50" s="528"/>
      <c r="U50" s="529"/>
      <c r="W50" s="204"/>
      <c r="X50" s="504"/>
    </row>
    <row r="51" spans="2:24" ht="20" customHeight="1">
      <c r="B51" s="527"/>
      <c r="C51" s="547">
        <v>1</v>
      </c>
      <c r="D51" s="1608" t="s">
        <v>608</v>
      </c>
      <c r="E51" s="1608"/>
      <c r="F51" s="1608"/>
      <c r="G51" s="1608"/>
      <c r="H51" s="1608"/>
      <c r="I51" s="1609"/>
      <c r="J51" s="565"/>
      <c r="K51" s="565"/>
      <c r="L51" s="565"/>
      <c r="M51" s="565"/>
      <c r="N51" s="1624" t="s">
        <v>579</v>
      </c>
      <c r="O51" s="1633"/>
      <c r="P51" s="1703" t="str">
        <f>IF(OR(VA_KOSTENANALYSE_2=2,VA_KOSTENANALYSE_2=3),'D ▪ Kostenanalyse'!S134,"Eingaben prüfen")</f>
        <v>Eingaben prüfen</v>
      </c>
      <c r="Q51" s="1704"/>
      <c r="R51" s="1704"/>
      <c r="S51" s="1705"/>
      <c r="T51" s="976"/>
      <c r="U51" s="529"/>
      <c r="W51" s="204"/>
      <c r="X51" s="504"/>
    </row>
    <row r="52" spans="2:24" ht="20" customHeight="1">
      <c r="B52" s="527"/>
      <c r="C52" s="552">
        <v>2</v>
      </c>
      <c r="D52" s="1595" t="s">
        <v>595</v>
      </c>
      <c r="E52" s="1595"/>
      <c r="F52" s="1595"/>
      <c r="G52" s="1595"/>
      <c r="H52" s="1595"/>
      <c r="I52" s="1595"/>
      <c r="J52" s="553"/>
      <c r="K52" s="573"/>
      <c r="L52" s="574"/>
      <c r="M52" s="574"/>
      <c r="N52" s="1598" t="s">
        <v>575</v>
      </c>
      <c r="O52" s="1577"/>
      <c r="P52" s="1621"/>
      <c r="Q52" s="1622"/>
      <c r="R52" s="1622"/>
      <c r="S52" s="1623"/>
      <c r="T52" s="975"/>
      <c r="U52" s="529"/>
      <c r="W52" s="204"/>
      <c r="X52" s="504"/>
    </row>
    <row r="53" spans="2:24" ht="12" customHeight="1">
      <c r="B53" s="531"/>
      <c r="C53" s="532"/>
      <c r="D53" s="543"/>
      <c r="E53" s="543"/>
      <c r="F53" s="543"/>
      <c r="G53" s="543"/>
      <c r="H53" s="543"/>
      <c r="I53" s="543"/>
      <c r="J53" s="532"/>
      <c r="K53" s="532"/>
      <c r="L53" s="532"/>
      <c r="M53" s="532"/>
      <c r="N53" s="562"/>
      <c r="O53" s="562"/>
      <c r="P53" s="562"/>
      <c r="Q53" s="532"/>
      <c r="R53" s="532"/>
      <c r="S53" s="532"/>
      <c r="T53" s="532"/>
      <c r="U53" s="533"/>
      <c r="W53" s="204"/>
      <c r="X53" s="504"/>
    </row>
    <row r="54" spans="2:24" ht="24" customHeight="1">
      <c r="B54" s="524"/>
      <c r="C54" s="537" t="s">
        <v>350</v>
      </c>
      <c r="D54" s="426" t="s">
        <v>509</v>
      </c>
      <c r="E54" s="544"/>
      <c r="F54" s="544"/>
      <c r="G54" s="544"/>
      <c r="H54" s="545"/>
      <c r="I54" s="545"/>
      <c r="J54" s="534"/>
      <c r="K54" s="530"/>
      <c r="L54" s="530"/>
      <c r="M54" s="530"/>
      <c r="N54" s="559"/>
      <c r="O54" s="560"/>
      <c r="P54" s="560"/>
      <c r="Q54" s="534"/>
      <c r="R54" s="534"/>
      <c r="S54" s="530"/>
      <c r="T54" s="609" t="s">
        <v>903</v>
      </c>
      <c r="U54" s="526"/>
      <c r="W54" s="204"/>
      <c r="X54" s="504"/>
    </row>
    <row r="55" spans="2:24" ht="6" customHeight="1">
      <c r="B55" s="527"/>
      <c r="C55" s="390"/>
      <c r="D55" s="536"/>
      <c r="E55" s="536"/>
      <c r="F55" s="536"/>
      <c r="G55" s="536"/>
      <c r="H55" s="536"/>
      <c r="I55" s="536"/>
      <c r="J55" s="528"/>
      <c r="K55" s="528"/>
      <c r="L55" s="528"/>
      <c r="M55" s="528"/>
      <c r="N55" s="561"/>
      <c r="O55" s="561"/>
      <c r="P55" s="562"/>
      <c r="Q55" s="532"/>
      <c r="R55" s="532"/>
      <c r="S55" s="532"/>
      <c r="T55" s="528"/>
      <c r="U55" s="529"/>
      <c r="W55" s="204"/>
      <c r="X55" s="504"/>
    </row>
    <row r="56" spans="2:24" ht="20" customHeight="1">
      <c r="B56" s="527"/>
      <c r="C56" s="547">
        <v>1</v>
      </c>
      <c r="D56" s="1608" t="s">
        <v>527</v>
      </c>
      <c r="E56" s="1608"/>
      <c r="F56" s="1608"/>
      <c r="G56" s="1608"/>
      <c r="H56" s="1608"/>
      <c r="I56" s="1608"/>
      <c r="J56" s="548"/>
      <c r="K56" s="564"/>
      <c r="L56" s="565"/>
      <c r="M56" s="567"/>
      <c r="N56" s="567"/>
      <c r="O56" s="566" t="s">
        <v>609</v>
      </c>
      <c r="P56" s="1706" t="str">
        <f>IF(VA_KOSTENANALYSE=2,'D ▪ Kostenanalyse'!M47,VA_BBGESAMT)</f>
        <v>es fehlen noch Daten</v>
      </c>
      <c r="Q56" s="1707"/>
      <c r="R56" s="1707"/>
      <c r="S56" s="1708"/>
      <c r="T56" s="971"/>
      <c r="U56" s="529"/>
      <c r="W56" s="204"/>
      <c r="X56" s="504"/>
    </row>
    <row r="57" spans="2:24" ht="20" customHeight="1">
      <c r="B57" s="527"/>
      <c r="C57" s="1565">
        <v>2</v>
      </c>
      <c r="D57" s="1642" t="s">
        <v>528</v>
      </c>
      <c r="E57" s="1642"/>
      <c r="F57" s="1642"/>
      <c r="G57" s="1642"/>
      <c r="H57" s="1642"/>
      <c r="I57" s="1642"/>
      <c r="J57" s="585"/>
      <c r="K57" s="1580" t="s">
        <v>586</v>
      </c>
      <c r="L57" s="1581"/>
      <c r="M57" s="1581"/>
      <c r="N57" s="1581"/>
      <c r="O57" s="1581"/>
      <c r="P57" s="1581"/>
      <c r="Q57" s="1581"/>
      <c r="R57" s="1581"/>
      <c r="S57" s="1582"/>
      <c r="T57" s="977"/>
      <c r="U57" s="529"/>
      <c r="W57" s="204"/>
      <c r="X57" s="504"/>
    </row>
    <row r="58" spans="2:24" ht="19.5" customHeight="1">
      <c r="B58" s="527"/>
      <c r="C58" s="1566"/>
      <c r="D58" s="1709" t="s">
        <v>529</v>
      </c>
      <c r="E58" s="1709"/>
      <c r="F58" s="1709"/>
      <c r="G58" s="1709"/>
      <c r="H58" s="1709"/>
      <c r="I58" s="1709"/>
      <c r="J58" s="613"/>
      <c r="K58" s="1583" t="s">
        <v>585</v>
      </c>
      <c r="L58" s="1583"/>
      <c r="M58" s="1583"/>
      <c r="N58" s="1583"/>
      <c r="O58" s="1583"/>
      <c r="P58" s="1583"/>
      <c r="Q58" s="1583"/>
      <c r="R58" s="1583"/>
      <c r="S58" s="1584"/>
      <c r="T58" s="978"/>
      <c r="U58" s="529"/>
      <c r="W58" s="204"/>
      <c r="X58" s="504"/>
    </row>
    <row r="59" spans="2:24" ht="20" customHeight="1">
      <c r="B59" s="527"/>
      <c r="C59" s="551">
        <v>3</v>
      </c>
      <c r="D59" s="1593" t="s">
        <v>530</v>
      </c>
      <c r="E59" s="1593"/>
      <c r="F59" s="1593"/>
      <c r="G59" s="1593"/>
      <c r="H59" s="1593"/>
      <c r="I59" s="1593"/>
      <c r="J59" s="546"/>
      <c r="K59" s="568"/>
      <c r="L59" s="569"/>
      <c r="M59" s="569"/>
      <c r="N59" s="1685"/>
      <c r="O59" s="1685"/>
      <c r="P59" s="1685"/>
      <c r="Q59" s="1686"/>
      <c r="R59" s="1686"/>
      <c r="S59" s="1616"/>
      <c r="T59" s="972"/>
      <c r="U59" s="529"/>
      <c r="W59" s="204"/>
      <c r="X59" s="504"/>
    </row>
    <row r="60" spans="2:24" ht="20" customHeight="1">
      <c r="B60" s="527"/>
      <c r="C60" s="551">
        <v>4</v>
      </c>
      <c r="D60" s="1593" t="s">
        <v>531</v>
      </c>
      <c r="E60" s="1593"/>
      <c r="F60" s="1593"/>
      <c r="G60" s="1593"/>
      <c r="H60" s="1593"/>
      <c r="I60" s="1593"/>
      <c r="J60" s="546"/>
      <c r="K60" s="568"/>
      <c r="L60" s="569"/>
      <c r="M60" s="569"/>
      <c r="N60" s="1620"/>
      <c r="O60" s="1614"/>
      <c r="P60" s="1615"/>
      <c r="Q60" s="1616"/>
      <c r="R60" s="1617"/>
      <c r="S60" s="1617"/>
      <c r="T60" s="972"/>
      <c r="U60" s="529"/>
      <c r="W60" s="204"/>
      <c r="X60" s="504"/>
    </row>
    <row r="61" spans="2:24" ht="20" customHeight="1">
      <c r="B61" s="527"/>
      <c r="C61" s="1565">
        <v>5</v>
      </c>
      <c r="D61" s="1642" t="s">
        <v>543</v>
      </c>
      <c r="E61" s="1642"/>
      <c r="F61" s="1642"/>
      <c r="G61" s="1642"/>
      <c r="H61" s="1642"/>
      <c r="I61" s="1642"/>
      <c r="J61" s="556"/>
      <c r="K61" s="568"/>
      <c r="L61" s="569"/>
      <c r="M61" s="575"/>
      <c r="N61" s="1685" t="s">
        <v>576</v>
      </c>
      <c r="O61" s="1620"/>
      <c r="P61" s="1601"/>
      <c r="Q61" s="1602"/>
      <c r="R61" s="1602"/>
      <c r="S61" s="1603"/>
      <c r="T61" s="972"/>
      <c r="U61" s="529"/>
      <c r="W61" s="204"/>
      <c r="X61" s="504"/>
    </row>
    <row r="62" spans="2:24" ht="20" customHeight="1">
      <c r="B62" s="527"/>
      <c r="C62" s="1566"/>
      <c r="D62" s="1709" t="s">
        <v>544</v>
      </c>
      <c r="E62" s="1709"/>
      <c r="F62" s="1709"/>
      <c r="G62" s="1709"/>
      <c r="H62" s="1709"/>
      <c r="I62" s="1709"/>
      <c r="J62" s="555"/>
      <c r="K62" s="557"/>
      <c r="L62" s="558"/>
      <c r="M62" s="594"/>
      <c r="N62" s="1685" t="s">
        <v>577</v>
      </c>
      <c r="O62" s="1620"/>
      <c r="P62" s="1604"/>
      <c r="Q62" s="1605"/>
      <c r="R62" s="1605"/>
      <c r="S62" s="1606"/>
      <c r="T62" s="972"/>
      <c r="U62" s="529"/>
      <c r="W62" s="204"/>
      <c r="X62" s="504"/>
    </row>
    <row r="63" spans="2:24" ht="20" customHeight="1">
      <c r="B63" s="527"/>
      <c r="C63" s="552">
        <v>6</v>
      </c>
      <c r="D63" s="1595" t="s">
        <v>532</v>
      </c>
      <c r="E63" s="1595"/>
      <c r="F63" s="1595"/>
      <c r="G63" s="1595"/>
      <c r="H63" s="1595"/>
      <c r="I63" s="1595"/>
      <c r="J63" s="553"/>
      <c r="K63" s="573"/>
      <c r="L63" s="574"/>
      <c r="M63" s="1598" t="s">
        <v>578</v>
      </c>
      <c r="N63" s="1598"/>
      <c r="O63" s="1577"/>
      <c r="P63" s="1621" t="s">
        <v>587</v>
      </c>
      <c r="Q63" s="1622"/>
      <c r="R63" s="1622"/>
      <c r="S63" s="1623"/>
      <c r="T63" s="975"/>
      <c r="U63" s="529"/>
      <c r="W63" s="204"/>
      <c r="X63" s="504"/>
    </row>
    <row r="64" spans="2:24" ht="12" customHeight="1">
      <c r="B64" s="531"/>
      <c r="C64" s="532"/>
      <c r="D64" s="543"/>
      <c r="E64" s="543"/>
      <c r="F64" s="543"/>
      <c r="G64" s="543"/>
      <c r="H64" s="543"/>
      <c r="I64" s="543"/>
      <c r="J64" s="532"/>
      <c r="K64" s="532"/>
      <c r="L64" s="532"/>
      <c r="M64" s="532"/>
      <c r="N64" s="532"/>
      <c r="O64" s="532"/>
      <c r="P64" s="532"/>
      <c r="Q64" s="532"/>
      <c r="R64" s="532"/>
      <c r="S64" s="532"/>
      <c r="T64" s="532"/>
      <c r="U64" s="533"/>
      <c r="W64" s="204"/>
      <c r="X64" s="504"/>
    </row>
    <row r="65" spans="2:24" ht="24" customHeight="1">
      <c r="B65" s="524"/>
      <c r="C65" s="537" t="s">
        <v>510</v>
      </c>
      <c r="D65" s="426" t="s">
        <v>511</v>
      </c>
      <c r="E65" s="544"/>
      <c r="F65" s="544"/>
      <c r="G65" s="544"/>
      <c r="H65" s="545"/>
      <c r="I65" s="545"/>
      <c r="J65" s="534"/>
      <c r="K65" s="530"/>
      <c r="L65" s="530"/>
      <c r="M65" s="530"/>
      <c r="N65" s="535"/>
      <c r="O65" s="534"/>
      <c r="P65" s="534"/>
      <c r="Q65" s="534"/>
      <c r="R65" s="534"/>
      <c r="S65" s="530"/>
      <c r="T65" s="609" t="s">
        <v>903</v>
      </c>
      <c r="U65" s="526"/>
      <c r="W65" s="204"/>
      <c r="X65" s="504"/>
    </row>
    <row r="66" spans="2:24" ht="6" customHeight="1">
      <c r="B66" s="527"/>
      <c r="C66" s="390"/>
      <c r="D66" s="536"/>
      <c r="E66" s="536"/>
      <c r="F66" s="536"/>
      <c r="G66" s="536"/>
      <c r="H66" s="536"/>
      <c r="I66" s="536"/>
      <c r="J66" s="528"/>
      <c r="K66" s="528"/>
      <c r="L66" s="528"/>
      <c r="M66" s="528"/>
      <c r="N66" s="528"/>
      <c r="O66" s="528"/>
      <c r="P66" s="528"/>
      <c r="Q66" s="528"/>
      <c r="R66" s="528"/>
      <c r="S66" s="528"/>
      <c r="T66" s="528"/>
      <c r="U66" s="529"/>
      <c r="W66" s="204"/>
      <c r="X66" s="504"/>
    </row>
    <row r="67" spans="2:24" ht="20" customHeight="1">
      <c r="B67" s="527"/>
      <c r="C67" s="547">
        <v>1</v>
      </c>
      <c r="D67" s="1608" t="s">
        <v>533</v>
      </c>
      <c r="E67" s="1608"/>
      <c r="F67" s="1608"/>
      <c r="G67" s="1608"/>
      <c r="H67" s="1608"/>
      <c r="I67" s="1608"/>
      <c r="J67" s="548"/>
      <c r="K67" s="1611" t="s">
        <v>588</v>
      </c>
      <c r="L67" s="1624"/>
      <c r="M67" s="1624"/>
      <c r="N67" s="1624"/>
      <c r="O67" s="580"/>
      <c r="P67" s="639"/>
      <c r="Q67" s="581"/>
      <c r="R67" s="581"/>
      <c r="S67" s="582"/>
      <c r="T67" s="971"/>
      <c r="U67" s="529"/>
      <c r="W67" s="204"/>
      <c r="X67" s="504"/>
    </row>
    <row r="68" spans="2:24" ht="20" customHeight="1">
      <c r="B68" s="527"/>
      <c r="C68" s="1565">
        <v>2</v>
      </c>
      <c r="D68" s="1642" t="s">
        <v>545</v>
      </c>
      <c r="E68" s="1642"/>
      <c r="F68" s="1642"/>
      <c r="G68" s="1642"/>
      <c r="H68" s="1642"/>
      <c r="I68" s="1642"/>
      <c r="J68" s="1671"/>
      <c r="K68" s="1588" t="s">
        <v>589</v>
      </c>
      <c r="L68" s="1589"/>
      <c r="M68" s="1589"/>
      <c r="N68" s="1590"/>
      <c r="O68" s="1591"/>
      <c r="P68" s="1591"/>
      <c r="Q68" s="1591"/>
      <c r="R68" s="1591"/>
      <c r="S68" s="1592"/>
      <c r="T68" s="1659"/>
      <c r="U68" s="529"/>
      <c r="W68" s="204"/>
      <c r="X68" s="504"/>
    </row>
    <row r="69" spans="2:24" ht="20" customHeight="1">
      <c r="B69" s="527"/>
      <c r="C69" s="1573"/>
      <c r="D69" s="1675" t="s">
        <v>624</v>
      </c>
      <c r="E69" s="1675"/>
      <c r="F69" s="1675"/>
      <c r="G69" s="1675"/>
      <c r="H69" s="1675"/>
      <c r="I69" s="1675"/>
      <c r="J69" s="1672"/>
      <c r="K69" s="1585"/>
      <c r="L69" s="1586"/>
      <c r="M69" s="1586"/>
      <c r="N69" s="1586"/>
      <c r="O69" s="1586"/>
      <c r="P69" s="1586"/>
      <c r="Q69" s="1586"/>
      <c r="R69" s="1586"/>
      <c r="S69" s="1587"/>
      <c r="T69" s="1660"/>
      <c r="U69" s="529"/>
      <c r="W69" s="204"/>
      <c r="X69" s="504"/>
    </row>
    <row r="70" spans="2:24" ht="6" customHeight="1">
      <c r="B70" s="527"/>
      <c r="C70"/>
      <c r="D70"/>
      <c r="E70"/>
      <c r="F70"/>
      <c r="G70"/>
      <c r="H70"/>
      <c r="I70"/>
      <c r="J70"/>
      <c r="K70"/>
      <c r="L70"/>
      <c r="M70"/>
      <c r="N70"/>
      <c r="O70"/>
      <c r="P70"/>
      <c r="Q70"/>
      <c r="R70"/>
      <c r="S70"/>
      <c r="T70"/>
      <c r="U70" s="529"/>
      <c r="W70" s="204"/>
      <c r="X70" s="504"/>
    </row>
    <row r="71" spans="2:24" ht="20" customHeight="1">
      <c r="B71" s="527"/>
      <c r="C71" s="547">
        <v>3</v>
      </c>
      <c r="D71" s="1608" t="s">
        <v>20</v>
      </c>
      <c r="E71" s="1608"/>
      <c r="F71" s="1608"/>
      <c r="G71" s="1608"/>
      <c r="H71" s="1608"/>
      <c r="I71" s="1609"/>
      <c r="J71" s="874" t="s">
        <v>546</v>
      </c>
      <c r="K71" s="618">
        <f>IF(VA_KOSTENANALYSE=2,'D ▪ Kostenanalyse'!M47-'D ▪ Kostenanalyse'!M48,IF(
OR(VA_FEHLER_AB&gt;0,VA_FEHLER_C&gt;0,VA_FEHLER_CD&gt;0),"---",
0+intern!N80+
IF(OR(VA_BESTANDSEINGABE=1,VA_ZUSAMMEN=1),0,intern!P80)))</f>
        <v>0</v>
      </c>
      <c r="L71" s="1631" t="s">
        <v>547</v>
      </c>
      <c r="M71" s="1632"/>
      <c r="N71" s="618">
        <f>IF(VA_KOSTENANALYSE=2,'D ▪ Kostenanalyse'!M48,IF(
OR(VA_FEHLER_AB&gt;0,VA_FEHLER_C&gt;0,VA_FEHLER_CD&gt;0),"---",
0+intern!O80+
IF(OR(VA_BESTANDSEINGABE=1,VA_ZUSAMMEN=1),0,intern!Q80)))</f>
        <v>0</v>
      </c>
      <c r="O71" s="1611" t="s">
        <v>579</v>
      </c>
      <c r="P71" s="1633"/>
      <c r="Q71" s="1663">
        <f>IF(VA_KOSTENANALYSE=2,'D ▪ Kostenanalyse'!M47,IFERROR(K71+N71,"---"))</f>
        <v>0</v>
      </c>
      <c r="R71" s="1664"/>
      <c r="S71" s="1665"/>
      <c r="T71" s="976"/>
      <c r="U71" s="529"/>
      <c r="W71" s="204"/>
      <c r="X71" s="504"/>
    </row>
    <row r="72" spans="2:24" ht="20" customHeight="1">
      <c r="B72" s="527"/>
      <c r="C72" s="1565">
        <v>4</v>
      </c>
      <c r="D72" s="619"/>
      <c r="E72" s="586"/>
      <c r="F72" s="586"/>
      <c r="G72" s="586"/>
      <c r="H72" s="586"/>
      <c r="I72" s="636"/>
      <c r="J72" s="1637" t="s">
        <v>590</v>
      </c>
      <c r="K72" s="1596"/>
      <c r="L72" s="1596"/>
      <c r="M72" s="1596"/>
      <c r="N72" s="1596"/>
      <c r="O72" s="1596"/>
      <c r="P72" s="1638"/>
      <c r="Q72" s="1666">
        <f>IF(VA_KOSTENANALYSE=2,'D ▪ Kostenanalyse'!M42,IF(
OR(VA_FEHLER_AB&gt;0,VA_FEHLER_C&gt;0,VA_FEHLER_CD&gt;0),"---",
0+intern!K83+
IF(OR(VA_BESTANDSEINGABE=1,VA_ZUSAMMEN=1),0,intern!U83)))</f>
        <v>0</v>
      </c>
      <c r="R72" s="1667"/>
      <c r="S72" s="1667"/>
      <c r="T72" s="1655"/>
      <c r="U72" s="529"/>
      <c r="W72" s="204"/>
      <c r="X72" s="504"/>
    </row>
    <row r="73" spans="2:24" ht="20" customHeight="1">
      <c r="B73" s="527"/>
      <c r="C73" s="1607"/>
      <c r="D73" s="1639" t="s">
        <v>534</v>
      </c>
      <c r="E73" s="1340"/>
      <c r="F73" s="1340"/>
      <c r="G73" s="1340"/>
      <c r="H73" s="1340"/>
      <c r="I73" s="1678"/>
      <c r="J73" s="1668" t="s">
        <v>611</v>
      </c>
      <c r="K73" s="1669"/>
      <c r="L73" s="1669"/>
      <c r="M73" s="1669"/>
      <c r="N73" s="1669"/>
      <c r="O73" s="1669"/>
      <c r="P73" s="1670"/>
      <c r="Q73" s="1676">
        <f>IF(VA_KOSTENANALYSE=2,'D ▪ Kostenanalyse'!M43,IF(
OR(VA_FEHLER_AB&gt;0,VA_FEHLER_C&gt;0,VA_FEHLER_CD&gt;0),"---",
0+intern!K84+
IF(OR(VA_BESTANDSEINGABE=1,VA_ZUSAMMEN=1),0,intern!U84)))</f>
        <v>0</v>
      </c>
      <c r="R73" s="1677"/>
      <c r="S73" s="1677"/>
      <c r="T73" s="1656"/>
      <c r="U73" s="529"/>
      <c r="W73" s="204"/>
      <c r="X73" s="504"/>
    </row>
    <row r="74" spans="2:24" ht="20" customHeight="1">
      <c r="B74" s="527"/>
      <c r="C74" s="1607"/>
      <c r="D74" s="1639"/>
      <c r="E74" s="1340"/>
      <c r="F74" s="1340"/>
      <c r="G74" s="1340"/>
      <c r="H74" s="1340"/>
      <c r="I74" s="1678"/>
      <c r="J74" s="1634" t="s">
        <v>591</v>
      </c>
      <c r="K74" s="1635"/>
      <c r="L74" s="1635"/>
      <c r="M74" s="1635"/>
      <c r="N74" s="1635"/>
      <c r="O74" s="1635"/>
      <c r="P74" s="1636"/>
      <c r="Q74" s="1661">
        <f>IF(VA_KOSTENANALYSE=2,'D ▪ Kostenanalyse'!M44,IF(
OR(VA_FEHLER_AB&gt;0,VA_FEHLER_C&gt;0,VA_FEHLER_CD&gt;0),"---",
0+intern!K85+
IF(OR(VA_BESTANDSEINGABE=1,VA_ZUSAMMEN=1),0,intern!U85)))</f>
        <v>0</v>
      </c>
      <c r="R74" s="1662"/>
      <c r="S74" s="1662"/>
      <c r="T74" s="1656"/>
      <c r="U74" s="529"/>
      <c r="W74" s="204"/>
      <c r="X74" s="504"/>
    </row>
    <row r="75" spans="2:24" ht="20" customHeight="1">
      <c r="B75" s="527"/>
      <c r="C75" s="1607"/>
      <c r="D75" s="1639"/>
      <c r="E75" s="1340"/>
      <c r="F75" s="1340"/>
      <c r="G75" s="1340"/>
      <c r="H75" s="1340"/>
      <c r="I75" s="1678"/>
      <c r="J75" s="1634" t="s">
        <v>717</v>
      </c>
      <c r="K75" s="1635"/>
      <c r="L75" s="1635"/>
      <c r="M75" s="1635"/>
      <c r="N75" s="1635"/>
      <c r="O75" s="1635"/>
      <c r="P75" s="1636"/>
      <c r="Q75" s="1661">
        <f>IF(VA_KOSTENANALYSE=2,'D ▪ Kostenanalyse'!M45,IF(
OR(VA_FEHLER_AB&gt;0,VA_FEHLER_C&gt;0,VA_FEHLER_CD&gt;0),"---",
0+intern!K86+
IF(OR(VA_BESTANDSEINGABE=1,VA_ZUSAMMEN=1),0,intern!U86)))</f>
        <v>0</v>
      </c>
      <c r="R75" s="1662"/>
      <c r="S75" s="1662"/>
      <c r="T75" s="1656"/>
      <c r="U75" s="529"/>
      <c r="W75" s="204"/>
      <c r="X75" s="504"/>
    </row>
    <row r="76" spans="2:24" ht="20" customHeight="1">
      <c r="B76" s="527"/>
      <c r="C76" s="1566"/>
      <c r="D76" s="587"/>
      <c r="E76" s="588"/>
      <c r="F76" s="588"/>
      <c r="G76" s="588"/>
      <c r="H76" s="588"/>
      <c r="I76" s="588"/>
      <c r="J76" s="1679" t="s">
        <v>592</v>
      </c>
      <c r="K76" s="1680"/>
      <c r="L76" s="1680"/>
      <c r="M76" s="1680"/>
      <c r="N76" s="1680"/>
      <c r="O76" s="1680"/>
      <c r="P76" s="1681" t="s">
        <v>592</v>
      </c>
      <c r="Q76" s="1673">
        <f>IF(VA_KOSTENANALYSE=2,'D ▪ Kostenanalyse'!M46,IF(
OR(VA_FEHLER_AB&gt;0,VA_FEHLER_C&gt;0,VA_FEHLER_CD&gt;0),"---",
0+intern!K87+
IF(OR(VA_BESTANDSEINGABE=1,VA_ZUSAMMEN=1),0,intern!U87)))</f>
        <v>0</v>
      </c>
      <c r="R76" s="1674"/>
      <c r="S76" s="1674"/>
      <c r="T76" s="1657"/>
      <c r="U76" s="529"/>
      <c r="W76" s="204"/>
      <c r="X76" s="504"/>
    </row>
    <row r="77" spans="2:24" ht="20" customHeight="1">
      <c r="B77" s="527"/>
      <c r="C77" s="552">
        <v>5</v>
      </c>
      <c r="D77" s="1643" t="s">
        <v>535</v>
      </c>
      <c r="E77" s="1643"/>
      <c r="F77" s="1643"/>
      <c r="G77" s="1643"/>
      <c r="H77" s="1643"/>
      <c r="I77" s="1644"/>
      <c r="J77" s="875" t="s">
        <v>546</v>
      </c>
      <c r="K77" s="981">
        <v>0</v>
      </c>
      <c r="L77" s="1648" t="s">
        <v>547</v>
      </c>
      <c r="M77" s="1649"/>
      <c r="N77" s="981">
        <v>0</v>
      </c>
      <c r="O77" s="1579" t="s">
        <v>579</v>
      </c>
      <c r="P77" s="1577"/>
      <c r="Q77" s="1645">
        <f>IFERROR(K77+N77,"---")</f>
        <v>0</v>
      </c>
      <c r="R77" s="1646"/>
      <c r="S77" s="1647"/>
      <c r="T77" s="980"/>
      <c r="U77" s="529"/>
      <c r="W77" s="204"/>
      <c r="X77" s="504"/>
    </row>
    <row r="78" spans="2:24" ht="6" customHeight="1">
      <c r="B78" s="527"/>
      <c r="C78"/>
      <c r="D78"/>
      <c r="E78"/>
      <c r="F78"/>
      <c r="G78"/>
      <c r="H78"/>
      <c r="I78"/>
      <c r="J78"/>
      <c r="K78"/>
      <c r="L78"/>
      <c r="M78"/>
      <c r="N78"/>
      <c r="O78"/>
      <c r="P78"/>
      <c r="Q78"/>
      <c r="R78"/>
      <c r="S78"/>
      <c r="T78"/>
      <c r="U78" s="529"/>
      <c r="W78" s="204"/>
      <c r="X78" s="504"/>
    </row>
    <row r="79" spans="2:24" ht="20" customHeight="1">
      <c r="B79" s="527"/>
      <c r="C79" s="1682">
        <v>6</v>
      </c>
      <c r="D79" s="595"/>
      <c r="E79" s="596"/>
      <c r="F79" s="596"/>
      <c r="G79" s="596"/>
      <c r="H79" s="596"/>
      <c r="I79" s="596"/>
      <c r="J79" s="431"/>
      <c r="K79" s="603"/>
      <c r="L79" s="431"/>
      <c r="M79" s="431"/>
      <c r="N79" s="603"/>
      <c r="O79" s="431"/>
      <c r="P79" s="431"/>
      <c r="Q79" s="566" t="s">
        <v>601</v>
      </c>
      <c r="R79" s="1683"/>
      <c r="S79" s="1684"/>
      <c r="T79" s="971"/>
      <c r="U79" s="529"/>
      <c r="W79" s="204"/>
      <c r="X79" s="504"/>
    </row>
    <row r="80" spans="2:24" ht="19.5" customHeight="1">
      <c r="B80" s="527"/>
      <c r="C80" s="1607"/>
      <c r="D80" s="1639" t="s">
        <v>536</v>
      </c>
      <c r="E80" s="1340"/>
      <c r="F80" s="1340"/>
      <c r="G80" s="1340"/>
      <c r="H80" s="1340"/>
      <c r="I80" s="1340"/>
      <c r="J80" s="625"/>
      <c r="K80" s="621" t="s">
        <v>548</v>
      </c>
      <c r="L80" s="627"/>
      <c r="M80" s="625"/>
      <c r="N80" s="621" t="s">
        <v>558</v>
      </c>
      <c r="O80" s="622"/>
      <c r="P80" s="625"/>
      <c r="Q80" s="621" t="s">
        <v>549</v>
      </c>
      <c r="R80" s="623"/>
      <c r="S80" s="628"/>
      <c r="T80" s="1655"/>
      <c r="U80" s="529"/>
      <c r="W80" s="204"/>
      <c r="X80" s="504"/>
    </row>
    <row r="81" spans="1:24" ht="20" customHeight="1">
      <c r="B81" s="527"/>
      <c r="C81" s="1607"/>
      <c r="D81" s="1639"/>
      <c r="E81" s="1340"/>
      <c r="F81" s="1340"/>
      <c r="G81" s="1340"/>
      <c r="H81" s="1340"/>
      <c r="I81" s="1340"/>
      <c r="J81" s="629"/>
      <c r="K81" s="630" t="s">
        <v>581</v>
      </c>
      <c r="L81" s="631"/>
      <c r="M81" s="629"/>
      <c r="N81" s="632" t="s">
        <v>559</v>
      </c>
      <c r="O81" s="633"/>
      <c r="P81" s="629"/>
      <c r="Q81" s="634" t="s">
        <v>612</v>
      </c>
      <c r="R81" s="1640"/>
      <c r="S81" s="1641"/>
      <c r="T81" s="1656"/>
      <c r="U81" s="529"/>
      <c r="W81" s="204"/>
      <c r="X81" s="504"/>
    </row>
    <row r="82" spans="1:24" ht="20" customHeight="1">
      <c r="B82" s="527"/>
      <c r="C82" s="1566"/>
      <c r="D82" s="587"/>
      <c r="E82" s="588"/>
      <c r="F82" s="588"/>
      <c r="G82" s="588"/>
      <c r="H82" s="588"/>
      <c r="I82" s="588"/>
      <c r="J82" s="637"/>
      <c r="K82" s="602" t="s">
        <v>580</v>
      </c>
      <c r="L82" s="558"/>
      <c r="N82" s="594" t="s">
        <v>560</v>
      </c>
      <c r="O82" s="589"/>
      <c r="Q82" s="602" t="s">
        <v>612</v>
      </c>
      <c r="R82" s="1625"/>
      <c r="S82" s="1626"/>
      <c r="T82" s="1657"/>
      <c r="U82" s="529"/>
      <c r="W82" s="204"/>
      <c r="X82" s="504"/>
    </row>
    <row r="83" spans="1:24" ht="20" customHeight="1">
      <c r="B83" s="527"/>
      <c r="C83" s="1565">
        <v>7</v>
      </c>
      <c r="D83" s="1653" t="s">
        <v>602</v>
      </c>
      <c r="E83" s="1570"/>
      <c r="F83" s="1570"/>
      <c r="G83" s="1570"/>
      <c r="H83" s="1570"/>
      <c r="I83" s="1570"/>
      <c r="J83" s="584"/>
      <c r="K83" s="621" t="s">
        <v>550</v>
      </c>
      <c r="L83" s="584"/>
      <c r="M83" s="584"/>
      <c r="N83" s="621" t="s">
        <v>561</v>
      </c>
      <c r="O83" s="622"/>
      <c r="P83" s="623"/>
      <c r="Q83" s="620" t="s">
        <v>582</v>
      </c>
      <c r="R83" s="623"/>
      <c r="S83" s="626"/>
      <c r="T83" s="1655"/>
      <c r="U83" s="529"/>
      <c r="W83" s="204"/>
      <c r="X83" s="504"/>
    </row>
    <row r="84" spans="1:24" ht="20" customHeight="1">
      <c r="B84" s="527"/>
      <c r="C84" s="1566"/>
      <c r="D84" s="1571"/>
      <c r="E84" s="1572"/>
      <c r="F84" s="1572"/>
      <c r="G84" s="1572"/>
      <c r="H84" s="1572"/>
      <c r="I84" s="1572"/>
      <c r="J84" s="558"/>
      <c r="K84" s="594" t="s">
        <v>551</v>
      </c>
      <c r="L84" s="558"/>
      <c r="M84" s="558"/>
      <c r="N84" s="594" t="s">
        <v>562</v>
      </c>
      <c r="O84" s="589"/>
      <c r="P84" s="601"/>
      <c r="Q84" s="615" t="s">
        <v>612</v>
      </c>
      <c r="R84" s="1627"/>
      <c r="S84" s="1628"/>
      <c r="T84" s="1657"/>
      <c r="U84" s="529"/>
      <c r="W84" s="204"/>
      <c r="X84" s="504"/>
    </row>
    <row r="85" spans="1:24" ht="19.5" customHeight="1">
      <c r="B85" s="527"/>
      <c r="C85" s="1565">
        <v>8</v>
      </c>
      <c r="D85" s="1569" t="s">
        <v>537</v>
      </c>
      <c r="E85" s="1570"/>
      <c r="F85" s="1570"/>
      <c r="G85" s="1570"/>
      <c r="H85" s="1570"/>
      <c r="I85" s="586"/>
      <c r="J85" s="584"/>
      <c r="K85" s="624" t="s">
        <v>603</v>
      </c>
      <c r="L85" s="584"/>
      <c r="M85" s="584"/>
      <c r="N85" s="624"/>
      <c r="O85" s="625"/>
      <c r="P85" s="625"/>
      <c r="Q85" s="624" t="s">
        <v>625</v>
      </c>
      <c r="R85" s="623"/>
      <c r="S85" s="626"/>
      <c r="T85" s="1655"/>
      <c r="U85" s="529"/>
      <c r="W85" s="204"/>
      <c r="X85" s="504"/>
    </row>
    <row r="86" spans="1:24" ht="20" customHeight="1">
      <c r="B86" s="527"/>
      <c r="C86" s="1566"/>
      <c r="D86" s="1571"/>
      <c r="E86" s="1572"/>
      <c r="F86" s="1572"/>
      <c r="G86" s="1572"/>
      <c r="H86" s="1572"/>
      <c r="I86" s="588"/>
      <c r="J86" s="558"/>
      <c r="K86" s="594" t="s">
        <v>563</v>
      </c>
      <c r="L86" s="589"/>
      <c r="M86" s="558"/>
      <c r="N86" s="615" t="s">
        <v>612</v>
      </c>
      <c r="O86" s="1625"/>
      <c r="P86" s="1625"/>
      <c r="Q86" s="1625"/>
      <c r="R86" s="1625"/>
      <c r="S86" s="1626"/>
      <c r="T86" s="1657"/>
      <c r="U86" s="529"/>
      <c r="W86" s="204"/>
      <c r="X86" s="504"/>
    </row>
    <row r="87" spans="1:24" ht="20" customHeight="1">
      <c r="B87" s="527"/>
      <c r="C87" s="551">
        <v>9</v>
      </c>
      <c r="D87" s="1593" t="s">
        <v>538</v>
      </c>
      <c r="E87" s="1593"/>
      <c r="F87" s="1593"/>
      <c r="G87" s="1593"/>
      <c r="H87" s="1593"/>
      <c r="I87" s="1594"/>
      <c r="J87" s="428"/>
      <c r="K87" s="575" t="s">
        <v>552</v>
      </c>
      <c r="L87" s="569"/>
      <c r="M87" s="569"/>
      <c r="N87" s="571" t="s">
        <v>583</v>
      </c>
      <c r="O87" s="569"/>
      <c r="P87" s="428"/>
      <c r="Q87" s="571" t="s">
        <v>612</v>
      </c>
      <c r="R87" s="1629"/>
      <c r="S87" s="1630"/>
      <c r="T87" s="972"/>
      <c r="U87" s="529"/>
      <c r="W87" s="204"/>
      <c r="X87" s="504"/>
    </row>
    <row r="88" spans="1:24" ht="20" customHeight="1">
      <c r="B88" s="527"/>
      <c r="C88" s="551">
        <v>10</v>
      </c>
      <c r="D88" s="1593" t="s">
        <v>539</v>
      </c>
      <c r="E88" s="1593"/>
      <c r="F88" s="1593"/>
      <c r="G88" s="1593"/>
      <c r="H88" s="1593"/>
      <c r="I88" s="1594"/>
      <c r="J88" s="428"/>
      <c r="K88" s="575" t="s">
        <v>553</v>
      </c>
      <c r="L88" s="569"/>
      <c r="M88" s="569"/>
      <c r="N88" s="605" t="s">
        <v>604</v>
      </c>
      <c r="O88" s="569"/>
      <c r="P88" s="428"/>
      <c r="Q88" s="571" t="s">
        <v>613</v>
      </c>
      <c r="R88" s="1651"/>
      <c r="S88" s="1652"/>
      <c r="T88" s="972"/>
      <c r="U88" s="529"/>
      <c r="W88" s="204"/>
      <c r="X88" s="504"/>
    </row>
    <row r="89" spans="1:24" ht="20" customHeight="1">
      <c r="B89" s="527"/>
      <c r="C89" s="576">
        <v>11</v>
      </c>
      <c r="D89" s="1642" t="s">
        <v>540</v>
      </c>
      <c r="E89" s="1642"/>
      <c r="F89" s="1642"/>
      <c r="G89" s="1642"/>
      <c r="H89" s="1642"/>
      <c r="I89" s="1569"/>
      <c r="J89" s="371"/>
      <c r="K89" s="604" t="s">
        <v>554</v>
      </c>
      <c r="L89" s="591"/>
      <c r="M89" s="371"/>
      <c r="N89" s="604" t="s">
        <v>564</v>
      </c>
      <c r="O89" s="592" t="s">
        <v>284</v>
      </c>
      <c r="Q89" s="577" t="s">
        <v>584</v>
      </c>
      <c r="R89" s="593"/>
      <c r="S89" s="590"/>
      <c r="T89" s="979"/>
      <c r="U89" s="529"/>
      <c r="W89" s="204"/>
      <c r="X89" s="504"/>
    </row>
    <row r="90" spans="1:24" ht="20" customHeight="1">
      <c r="B90" s="527"/>
      <c r="C90" s="1654">
        <v>12</v>
      </c>
      <c r="D90" s="1593" t="s">
        <v>541</v>
      </c>
      <c r="E90" s="1593"/>
      <c r="F90" s="1593"/>
      <c r="G90" s="1593"/>
      <c r="H90" s="1594"/>
      <c r="I90" s="611"/>
      <c r="J90" s="635"/>
      <c r="K90" s="621" t="s">
        <v>555</v>
      </c>
      <c r="L90" s="584"/>
      <c r="M90" s="625"/>
      <c r="N90" s="621" t="s">
        <v>565</v>
      </c>
      <c r="O90" s="622"/>
      <c r="P90" s="625"/>
      <c r="Q90" s="620" t="s">
        <v>614</v>
      </c>
      <c r="R90" s="623"/>
      <c r="S90" s="626"/>
      <c r="T90" s="1658"/>
      <c r="U90" s="529"/>
      <c r="W90" s="204"/>
      <c r="X90" s="504"/>
    </row>
    <row r="91" spans="1:24" ht="20" customHeight="1">
      <c r="B91" s="527"/>
      <c r="C91" s="1654"/>
      <c r="D91" s="1593"/>
      <c r="E91" s="1593"/>
      <c r="F91" s="1593"/>
      <c r="G91" s="1593"/>
      <c r="H91" s="1594"/>
      <c r="I91" s="588"/>
      <c r="J91" s="308"/>
      <c r="K91" s="594" t="s">
        <v>556</v>
      </c>
      <c r="L91" s="558"/>
      <c r="M91" s="308"/>
      <c r="N91" s="594" t="s">
        <v>566</v>
      </c>
      <c r="O91" s="589"/>
      <c r="P91" s="308"/>
      <c r="Q91" s="602" t="s">
        <v>612</v>
      </c>
      <c r="R91" s="1625"/>
      <c r="S91" s="1626"/>
      <c r="T91" s="1658"/>
      <c r="U91" s="529"/>
      <c r="W91" s="204"/>
      <c r="X91" s="504"/>
    </row>
    <row r="92" spans="1:24" ht="20" customHeight="1">
      <c r="B92" s="527"/>
      <c r="C92" s="552">
        <v>13</v>
      </c>
      <c r="D92" s="1595" t="s">
        <v>542</v>
      </c>
      <c r="E92" s="1595"/>
      <c r="F92" s="1595"/>
      <c r="G92" s="1595"/>
      <c r="H92" s="1650"/>
      <c r="I92" s="597"/>
      <c r="J92" s="600"/>
      <c r="K92" s="542" t="s">
        <v>605</v>
      </c>
      <c r="L92" s="574"/>
      <c r="M92" s="432"/>
      <c r="N92" s="583" t="s">
        <v>557</v>
      </c>
      <c r="O92" s="598"/>
      <c r="P92" s="432"/>
      <c r="Q92" s="583" t="s">
        <v>567</v>
      </c>
      <c r="R92" s="599"/>
      <c r="S92" s="439"/>
      <c r="T92" s="975"/>
      <c r="U92" s="529"/>
      <c r="W92" s="204"/>
      <c r="X92" s="504"/>
    </row>
    <row r="93" spans="1:24" ht="20" customHeight="1" thickBot="1">
      <c r="B93" s="538"/>
      <c r="C93" s="539"/>
      <c r="D93" s="540"/>
      <c r="E93" s="540"/>
      <c r="F93" s="540"/>
      <c r="G93" s="540"/>
      <c r="H93" s="540"/>
      <c r="I93" s="540"/>
      <c r="J93" s="540"/>
      <c r="K93" s="540"/>
      <c r="L93" s="540"/>
      <c r="M93" s="540"/>
      <c r="N93" s="540"/>
      <c r="O93" s="540"/>
      <c r="P93" s="540"/>
      <c r="Q93" s="540"/>
      <c r="R93" s="540"/>
      <c r="S93" s="540"/>
      <c r="T93" s="540"/>
      <c r="U93" s="541"/>
      <c r="W93" s="204"/>
      <c r="X93" s="504"/>
    </row>
    <row r="94" spans="1:24" ht="10" customHeight="1">
      <c r="W94" s="204"/>
      <c r="X94" s="504"/>
    </row>
    <row r="95" spans="1:24" ht="5" customHeight="1">
      <c r="A95" s="204"/>
      <c r="B95" s="204"/>
      <c r="C95" s="204"/>
      <c r="D95" s="204"/>
      <c r="E95" s="204"/>
      <c r="F95" s="204"/>
      <c r="G95" s="204"/>
      <c r="H95" s="204"/>
      <c r="I95" s="204"/>
      <c r="J95" s="204"/>
      <c r="K95" s="204"/>
      <c r="L95" s="204"/>
      <c r="M95" s="204"/>
      <c r="N95" s="204"/>
      <c r="O95" s="204"/>
      <c r="P95" s="204"/>
      <c r="Q95" s="204"/>
      <c r="R95" s="204"/>
      <c r="S95" s="204"/>
      <c r="T95" s="204"/>
      <c r="U95" s="204"/>
      <c r="V95" s="204"/>
      <c r="W95" s="204"/>
      <c r="X95" s="504"/>
    </row>
    <row r="96" spans="1:24" ht="45" customHeight="1">
      <c r="A96" s="504"/>
      <c r="B96" s="504"/>
      <c r="C96" s="504"/>
      <c r="D96" s="504"/>
      <c r="E96" s="504"/>
      <c r="F96" s="1035" t="s">
        <v>701</v>
      </c>
      <c r="G96" s="1035"/>
      <c r="H96" s="1035"/>
      <c r="I96" s="1035"/>
      <c r="J96" s="1035"/>
      <c r="K96" s="1035"/>
      <c r="L96" s="1035"/>
      <c r="M96" s="1035"/>
      <c r="N96" s="1035"/>
      <c r="O96" s="1035"/>
      <c r="P96" s="1035"/>
      <c r="Q96" s="504"/>
      <c r="R96" s="504"/>
      <c r="S96" s="504"/>
      <c r="T96" s="504"/>
      <c r="U96" s="504"/>
      <c r="V96" s="504"/>
      <c r="W96" s="504"/>
      <c r="X96" s="504"/>
    </row>
    <row r="97" spans="1:24" ht="26.25" customHeight="1">
      <c r="A97" s="505"/>
      <c r="B97" s="505"/>
      <c r="C97" s="505"/>
      <c r="D97" s="505"/>
      <c r="E97" s="505"/>
      <c r="F97" s="505"/>
      <c r="G97" s="505"/>
      <c r="H97" s="505"/>
      <c r="I97" s="505"/>
      <c r="J97" s="505"/>
      <c r="K97" s="505"/>
      <c r="L97" s="505"/>
      <c r="M97" s="505"/>
      <c r="N97" s="505"/>
      <c r="O97" s="505"/>
      <c r="P97" s="505"/>
      <c r="Q97" s="505"/>
      <c r="R97" s="505"/>
      <c r="S97" s="505"/>
      <c r="T97" s="505"/>
      <c r="U97" s="505"/>
      <c r="V97" s="505"/>
      <c r="W97" s="505"/>
      <c r="X97" s="505"/>
    </row>
  </sheetData>
  <sheetProtection algorithmName="SHA-512" hashValue="bEbnYdpAuDNKGGsfiY81E7dmDJQzEnOc/O+S+GUJMZ7fudrcW3hNqyYvaHTG4ih3L849at8+xMm2Gf28yvI2oA==" saltValue="kD0+syKGHvOxznRtCVggPw==" spinCount="100000" sheet="1" objects="1" scenarios="1"/>
  <mergeCells count="140">
    <mergeCell ref="B17:U17"/>
    <mergeCell ref="P46:S46"/>
    <mergeCell ref="K67:N67"/>
    <mergeCell ref="P47:S47"/>
    <mergeCell ref="N51:O51"/>
    <mergeCell ref="N52:O52"/>
    <mergeCell ref="P51:S51"/>
    <mergeCell ref="P52:S52"/>
    <mergeCell ref="P56:S56"/>
    <mergeCell ref="N61:O61"/>
    <mergeCell ref="N62:O62"/>
    <mergeCell ref="M63:O63"/>
    <mergeCell ref="D51:I51"/>
    <mergeCell ref="D52:I52"/>
    <mergeCell ref="D47:I47"/>
    <mergeCell ref="D57:I57"/>
    <mergeCell ref="D62:I62"/>
    <mergeCell ref="D60:I60"/>
    <mergeCell ref="N60:P60"/>
    <mergeCell ref="Q60:S60"/>
    <mergeCell ref="D22:I22"/>
    <mergeCell ref="D63:I63"/>
    <mergeCell ref="D67:I67"/>
    <mergeCell ref="D58:I58"/>
    <mergeCell ref="D59:I59"/>
    <mergeCell ref="N59:P59"/>
    <mergeCell ref="Q59:S59"/>
    <mergeCell ref="D56:I56"/>
    <mergeCell ref="P61:S61"/>
    <mergeCell ref="P62:S62"/>
    <mergeCell ref="D61:I61"/>
    <mergeCell ref="N22:O22"/>
    <mergeCell ref="N23:O23"/>
    <mergeCell ref="N24:O24"/>
    <mergeCell ref="N26:O26"/>
    <mergeCell ref="P22:S22"/>
    <mergeCell ref="P23:S23"/>
    <mergeCell ref="P24:S24"/>
    <mergeCell ref="P25:S25"/>
    <mergeCell ref="P26:S26"/>
    <mergeCell ref="D24:I24"/>
    <mergeCell ref="Q28:S28"/>
    <mergeCell ref="D25:I26"/>
    <mergeCell ref="D23:I23"/>
    <mergeCell ref="N47:O47"/>
    <mergeCell ref="C90:C91"/>
    <mergeCell ref="T80:T82"/>
    <mergeCell ref="T83:T84"/>
    <mergeCell ref="T85:T86"/>
    <mergeCell ref="T90:T91"/>
    <mergeCell ref="T72:T76"/>
    <mergeCell ref="T68:T69"/>
    <mergeCell ref="Q74:S74"/>
    <mergeCell ref="D71:I71"/>
    <mergeCell ref="Q71:S71"/>
    <mergeCell ref="Q72:S72"/>
    <mergeCell ref="J73:P73"/>
    <mergeCell ref="J68:J69"/>
    <mergeCell ref="Q75:S75"/>
    <mergeCell ref="Q76:S76"/>
    <mergeCell ref="D68:I68"/>
    <mergeCell ref="D69:I69"/>
    <mergeCell ref="Q73:S73"/>
    <mergeCell ref="D73:I75"/>
    <mergeCell ref="D90:H91"/>
    <mergeCell ref="J76:P76"/>
    <mergeCell ref="C79:C82"/>
    <mergeCell ref="R79:S79"/>
    <mergeCell ref="C83:C84"/>
    <mergeCell ref="O86:S86"/>
    <mergeCell ref="R84:S84"/>
    <mergeCell ref="R87:S87"/>
    <mergeCell ref="F96:P96"/>
    <mergeCell ref="L71:M71"/>
    <mergeCell ref="O71:P71"/>
    <mergeCell ref="J74:P74"/>
    <mergeCell ref="J75:P75"/>
    <mergeCell ref="J72:P72"/>
    <mergeCell ref="D80:I81"/>
    <mergeCell ref="R81:S81"/>
    <mergeCell ref="R82:S82"/>
    <mergeCell ref="D89:I89"/>
    <mergeCell ref="D88:I88"/>
    <mergeCell ref="D87:I87"/>
    <mergeCell ref="D77:I77"/>
    <mergeCell ref="Q77:S77"/>
    <mergeCell ref="L77:M77"/>
    <mergeCell ref="O77:P77"/>
    <mergeCell ref="D92:H92"/>
    <mergeCell ref="R91:S91"/>
    <mergeCell ref="R88:S88"/>
    <mergeCell ref="D83:I84"/>
    <mergeCell ref="C61:C62"/>
    <mergeCell ref="C57:C58"/>
    <mergeCell ref="C72:C76"/>
    <mergeCell ref="D37:I37"/>
    <mergeCell ref="D38:I38"/>
    <mergeCell ref="N32:P32"/>
    <mergeCell ref="Q32:S32"/>
    <mergeCell ref="D32:I32"/>
    <mergeCell ref="D33:I33"/>
    <mergeCell ref="D44:I44"/>
    <mergeCell ref="N44:P44"/>
    <mergeCell ref="Q44:S44"/>
    <mergeCell ref="D45:I45"/>
    <mergeCell ref="N45:P45"/>
    <mergeCell ref="Q45:S45"/>
    <mergeCell ref="D39:I39"/>
    <mergeCell ref="D40:I40"/>
    <mergeCell ref="P37:S37"/>
    <mergeCell ref="N46:O46"/>
    <mergeCell ref="P40:S40"/>
    <mergeCell ref="N37:O37"/>
    <mergeCell ref="P63:S63"/>
    <mergeCell ref="P33:S33"/>
    <mergeCell ref="D46:I46"/>
    <mergeCell ref="C25:C26"/>
    <mergeCell ref="J25:J26"/>
    <mergeCell ref="C85:C86"/>
    <mergeCell ref="D85:H86"/>
    <mergeCell ref="Y1:AA1"/>
    <mergeCell ref="C68:C69"/>
    <mergeCell ref="P27:S27"/>
    <mergeCell ref="A1:B1"/>
    <mergeCell ref="R1:T1"/>
    <mergeCell ref="N28:P28"/>
    <mergeCell ref="K57:S57"/>
    <mergeCell ref="K58:S58"/>
    <mergeCell ref="K69:S69"/>
    <mergeCell ref="K68:N68"/>
    <mergeCell ref="O68:S68"/>
    <mergeCell ref="D27:I27"/>
    <mergeCell ref="D28:I28"/>
    <mergeCell ref="M25:O25"/>
    <mergeCell ref="M33:O33"/>
    <mergeCell ref="N38:O38"/>
    <mergeCell ref="N39:O39"/>
    <mergeCell ref="N40:O40"/>
    <mergeCell ref="P38:S38"/>
    <mergeCell ref="P39:S39"/>
  </mergeCells>
  <conditionalFormatting sqref="A1:Q1">
    <cfRule type="expression" dxfId="31" priority="32">
      <formula>OR(VA_FEHLER_AB&gt;0,VA_FEHLER_C&gt;0)</formula>
    </cfRule>
  </conditionalFormatting>
  <conditionalFormatting sqref="D77:I77">
    <cfRule type="expression" dxfId="30" priority="11">
      <formula>OR($K$77&gt;$K$71,$N$77&gt;$N$71)</formula>
    </cfRule>
  </conditionalFormatting>
  <conditionalFormatting sqref="K71 K77">
    <cfRule type="expression" dxfId="29" priority="14">
      <formula>$K$77&gt;$K$71</formula>
    </cfRule>
  </conditionalFormatting>
  <conditionalFormatting sqref="N71 N77">
    <cfRule type="expression" dxfId="28" priority="12">
      <formula>$N$77&gt;$N$71</formula>
    </cfRule>
  </conditionalFormatting>
  <conditionalFormatting sqref="P63:S63">
    <cfRule type="expression" dxfId="27" priority="22">
      <formula>$P$63="Datum hier einfügen"</formula>
    </cfRule>
  </conditionalFormatting>
  <conditionalFormatting sqref="Y1">
    <cfRule type="expression" dxfId="25" priority="10">
      <formula>V_ARBEIT=0</formula>
    </cfRule>
  </conditionalFormatting>
  <dataValidations disablePrompts="1" count="8">
    <dataValidation type="textLength" operator="lessThanOrEqual" allowBlank="1" showInputMessage="1" showErrorMessage="1" errorTitle="Eingabefehler" error="Es sind maximal 25 Zeichen (inkl. Leerzeichen) erlaubt." sqref="Q76:S76" xr:uid="{1E66F8A8-D020-440A-B573-11A0FD7B3B26}">
      <formula1>25</formula1>
    </dataValidation>
    <dataValidation type="whole" operator="greaterThanOrEqual" allowBlank="1" showInputMessage="1" showErrorMessage="1" errorTitle="Eingabefehler" error="Nur ganze, positive Zahlen sowie 0 erlaubt." sqref="R88:S88 R79:S79" xr:uid="{E4D0BA79-0785-4FEC-BB8F-9768D4A3FBDA}">
      <formula1>0</formula1>
    </dataValidation>
    <dataValidation type="textLength" operator="lessThanOrEqual" allowBlank="1" showInputMessage="1" showErrorMessage="1" errorTitle="Eingabefehler" error="Es sind maximal 20 Zeichen (inkl. Leerzeichen) erlaubt." sqref="R81:S82 R84:S84 R87:S87 R91:S91" xr:uid="{531E7F3F-A07F-4CCA-8C05-452ECD25E968}">
      <formula1>20</formula1>
    </dataValidation>
    <dataValidation type="textLength" operator="lessThanOrEqual" allowBlank="1" showInputMessage="1" showErrorMessage="1" errorTitle="Eingabefehler" error="Es sind maximal 50 Zeichen (inkl. Leerzeichen) erlaubt." sqref="O68:S68 O86:S86" xr:uid="{4B9C5BF2-7084-4602-9386-C9D99729DBB6}">
      <formula1>50</formula1>
    </dataValidation>
    <dataValidation type="textLength" operator="lessThanOrEqual" allowBlank="1" showInputMessage="1" showErrorMessage="1" errorTitle="Eingabefehler" error="Es sind maximal 95 Zeichen (inkl. Leerzeichen) erlaubt." sqref="K69:S69" xr:uid="{A06CAB72-ED4C-4693-AAF2-82903BA79503}">
      <formula1>95</formula1>
    </dataValidation>
    <dataValidation type="textLength" operator="lessThanOrEqual" allowBlank="1" showInputMessage="1" showErrorMessage="1" errorTitle="Eingabefehler" error="Es sind maximal 40 Zeichen (inkl. Leerzeichen) erlaubt." sqref="P22:S27 P33:S33 P38:S40 P46:S47 P52:S52 P61:S63" xr:uid="{419A62D3-59EC-4402-895E-4787FC358398}">
      <formula1>40</formula1>
    </dataValidation>
    <dataValidation type="whole" allowBlank="1" showInputMessage="1" showErrorMessage="1" errorTitle="Eingabefehler" error="Anzahl darf nicht höher sein als G3 &quot;offen&quot;." sqref="K77" xr:uid="{B3AD6679-6A19-4FEF-B626-C1B99CD3CF71}">
      <formula1>0</formula1>
      <formula2>K71</formula2>
    </dataValidation>
    <dataValidation type="whole" allowBlank="1" showInputMessage="1" showErrorMessage="1" errorTitle="Eingabefehler" error="Anzahl darf nicht höher sein als G3 &quot;gesichert&quot;." sqref="N77" xr:uid="{65A1F2D3-2F96-4709-AD46-0234C520974D}">
      <formula1>0</formula1>
      <formula2>N71</formula2>
    </dataValidation>
  </dataValidations>
  <printOptions horizontalCentered="1"/>
  <pageMargins left="0.70866141732283472" right="0.70866141732283472" top="0.78740157480314965" bottom="0.78740157480314965" header="0.39370078740157483" footer="0.27559055118110237"/>
  <pageSetup paperSize="9" scale="49" orientation="portrait" errors="blank" r:id="rId1"/>
  <headerFooter scaleWithDoc="0">
    <oddHeader>&amp;L&amp;13Checkliste 1: Projektbeschreibung&amp;R&amp;G</oddHeader>
    <oddFooter>&amp;L&amp;G&amp;C&amp;6&amp;U&amp;K02+000Infostelle Fahrradparken&amp;18&amp;U&amp;K01+000
&amp;9https://radparken.info&amp;R&amp;KA5A5A5&amp;"Calibri"&amp;6Druck am: &amp;D
Tabellenreiter: &amp;A
Version: 3.6 (08.01.2025)</oddFooter>
  </headerFooter>
  <colBreaks count="1" manualBreakCount="1">
    <brk id="2"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232" r:id="rId5" name="Check Box 64">
              <controlPr defaultSize="0" autoFill="0" autoLine="0" autoPict="0">
                <anchor moveWithCells="1" sizeWithCells="1">
                  <from>
                    <xdr:col>9</xdr:col>
                    <xdr:colOff>38100</xdr:colOff>
                    <xdr:row>23</xdr:row>
                    <xdr:rowOff>0</xdr:rowOff>
                  </from>
                  <to>
                    <xdr:col>9</xdr:col>
                    <xdr:colOff>622300</xdr:colOff>
                    <xdr:row>24</xdr:row>
                    <xdr:rowOff>0</xdr:rowOff>
                  </to>
                </anchor>
              </controlPr>
            </control>
          </mc:Choice>
        </mc:AlternateContent>
        <mc:AlternateContent xmlns:mc="http://schemas.openxmlformats.org/markup-compatibility/2006">
          <mc:Choice Requires="x14">
            <control shapeId="7233" r:id="rId6" name="Check Box 65">
              <controlPr defaultSize="0" autoFill="0" autoLine="0" autoPict="0">
                <anchor moveWithCells="1" sizeWithCells="1">
                  <from>
                    <xdr:col>9</xdr:col>
                    <xdr:colOff>38100</xdr:colOff>
                    <xdr:row>23</xdr:row>
                    <xdr:rowOff>254000</xdr:rowOff>
                  </from>
                  <to>
                    <xdr:col>9</xdr:col>
                    <xdr:colOff>622300</xdr:colOff>
                    <xdr:row>26</xdr:row>
                    <xdr:rowOff>0</xdr:rowOff>
                  </to>
                </anchor>
              </controlPr>
            </control>
          </mc:Choice>
        </mc:AlternateContent>
        <mc:AlternateContent xmlns:mc="http://schemas.openxmlformats.org/markup-compatibility/2006">
          <mc:Choice Requires="x14">
            <control shapeId="7234" r:id="rId7" name="Check Box 66">
              <controlPr defaultSize="0" autoFill="0" autoLine="0" autoPict="0">
                <anchor moveWithCells="1" sizeWithCells="1">
                  <from>
                    <xdr:col>9</xdr:col>
                    <xdr:colOff>38100</xdr:colOff>
                    <xdr:row>27</xdr:row>
                    <xdr:rowOff>0</xdr:rowOff>
                  </from>
                  <to>
                    <xdr:col>9</xdr:col>
                    <xdr:colOff>622300</xdr:colOff>
                    <xdr:row>28</xdr:row>
                    <xdr:rowOff>0</xdr:rowOff>
                  </to>
                </anchor>
              </controlPr>
            </control>
          </mc:Choice>
        </mc:AlternateContent>
        <mc:AlternateContent xmlns:mc="http://schemas.openxmlformats.org/markup-compatibility/2006">
          <mc:Choice Requires="x14">
            <control shapeId="7235" r:id="rId8" name="Check Box 67">
              <controlPr defaultSize="0" autoFill="0" autoLine="0" autoPict="0">
                <anchor moveWithCells="1" sizeWithCells="1">
                  <from>
                    <xdr:col>9</xdr:col>
                    <xdr:colOff>38100</xdr:colOff>
                    <xdr:row>32</xdr:row>
                    <xdr:rowOff>0</xdr:rowOff>
                  </from>
                  <to>
                    <xdr:col>9</xdr:col>
                    <xdr:colOff>622300</xdr:colOff>
                    <xdr:row>33</xdr:row>
                    <xdr:rowOff>0</xdr:rowOff>
                  </to>
                </anchor>
              </controlPr>
            </control>
          </mc:Choice>
        </mc:AlternateContent>
        <mc:AlternateContent xmlns:mc="http://schemas.openxmlformats.org/markup-compatibility/2006">
          <mc:Choice Requires="x14">
            <control shapeId="7236" r:id="rId9" name="Check Box 68">
              <controlPr defaultSize="0" autoFill="0" autoLine="0" autoPict="0">
                <anchor moveWithCells="1" sizeWithCells="1">
                  <from>
                    <xdr:col>9</xdr:col>
                    <xdr:colOff>38100</xdr:colOff>
                    <xdr:row>39</xdr:row>
                    <xdr:rowOff>0</xdr:rowOff>
                  </from>
                  <to>
                    <xdr:col>9</xdr:col>
                    <xdr:colOff>622300</xdr:colOff>
                    <xdr:row>40</xdr:row>
                    <xdr:rowOff>0</xdr:rowOff>
                  </to>
                </anchor>
              </controlPr>
            </control>
          </mc:Choice>
        </mc:AlternateContent>
        <mc:AlternateContent xmlns:mc="http://schemas.openxmlformats.org/markup-compatibility/2006">
          <mc:Choice Requires="x14">
            <control shapeId="7237" r:id="rId10" name="Check Box 69">
              <controlPr defaultSize="0" autoFill="0" autoLine="0" autoPict="0">
                <anchor moveWithCells="1" sizeWithCells="1">
                  <from>
                    <xdr:col>9</xdr:col>
                    <xdr:colOff>38100</xdr:colOff>
                    <xdr:row>51</xdr:row>
                    <xdr:rowOff>0</xdr:rowOff>
                  </from>
                  <to>
                    <xdr:col>9</xdr:col>
                    <xdr:colOff>622300</xdr:colOff>
                    <xdr:row>52</xdr:row>
                    <xdr:rowOff>0</xdr:rowOff>
                  </to>
                </anchor>
              </controlPr>
            </control>
          </mc:Choice>
        </mc:AlternateContent>
        <mc:AlternateContent xmlns:mc="http://schemas.openxmlformats.org/markup-compatibility/2006">
          <mc:Choice Requires="x14">
            <control shapeId="7238" r:id="rId11" name="Check Box 70">
              <controlPr defaultSize="0" autoFill="0" autoLine="0" autoPict="0">
                <anchor moveWithCells="1" sizeWithCells="1">
                  <from>
                    <xdr:col>9</xdr:col>
                    <xdr:colOff>38100</xdr:colOff>
                    <xdr:row>55</xdr:row>
                    <xdr:rowOff>0</xdr:rowOff>
                  </from>
                  <to>
                    <xdr:col>9</xdr:col>
                    <xdr:colOff>622300</xdr:colOff>
                    <xdr:row>56</xdr:row>
                    <xdr:rowOff>0</xdr:rowOff>
                  </to>
                </anchor>
              </controlPr>
            </control>
          </mc:Choice>
        </mc:AlternateContent>
        <mc:AlternateContent xmlns:mc="http://schemas.openxmlformats.org/markup-compatibility/2006">
          <mc:Choice Requires="x14">
            <control shapeId="7239" r:id="rId12" name="Check Box 71">
              <controlPr defaultSize="0" autoFill="0" autoLine="0" autoPict="0">
                <anchor moveWithCells="1" sizeWithCells="1">
                  <from>
                    <xdr:col>9</xdr:col>
                    <xdr:colOff>38100</xdr:colOff>
                    <xdr:row>56</xdr:row>
                    <xdr:rowOff>0</xdr:rowOff>
                  </from>
                  <to>
                    <xdr:col>9</xdr:col>
                    <xdr:colOff>622300</xdr:colOff>
                    <xdr:row>57</xdr:row>
                    <xdr:rowOff>0</xdr:rowOff>
                  </to>
                </anchor>
              </controlPr>
            </control>
          </mc:Choice>
        </mc:AlternateContent>
        <mc:AlternateContent xmlns:mc="http://schemas.openxmlformats.org/markup-compatibility/2006">
          <mc:Choice Requires="x14">
            <control shapeId="7240" r:id="rId13" name="Check Box 72">
              <controlPr defaultSize="0" autoFill="0" autoLine="0" autoPict="0">
                <anchor moveWithCells="1" sizeWithCells="1">
                  <from>
                    <xdr:col>9</xdr:col>
                    <xdr:colOff>38100</xdr:colOff>
                    <xdr:row>57</xdr:row>
                    <xdr:rowOff>0</xdr:rowOff>
                  </from>
                  <to>
                    <xdr:col>9</xdr:col>
                    <xdr:colOff>622300</xdr:colOff>
                    <xdr:row>58</xdr:row>
                    <xdr:rowOff>0</xdr:rowOff>
                  </to>
                </anchor>
              </controlPr>
            </control>
          </mc:Choice>
        </mc:AlternateContent>
        <mc:AlternateContent xmlns:mc="http://schemas.openxmlformats.org/markup-compatibility/2006">
          <mc:Choice Requires="x14">
            <control shapeId="7241" r:id="rId14" name="Check Box 73">
              <controlPr defaultSize="0" autoFill="0" autoLine="0" autoPict="0">
                <anchor moveWithCells="1" sizeWithCells="1">
                  <from>
                    <xdr:col>9</xdr:col>
                    <xdr:colOff>38100</xdr:colOff>
                    <xdr:row>58</xdr:row>
                    <xdr:rowOff>0</xdr:rowOff>
                  </from>
                  <to>
                    <xdr:col>9</xdr:col>
                    <xdr:colOff>622300</xdr:colOff>
                    <xdr:row>59</xdr:row>
                    <xdr:rowOff>0</xdr:rowOff>
                  </to>
                </anchor>
              </controlPr>
            </control>
          </mc:Choice>
        </mc:AlternateContent>
        <mc:AlternateContent xmlns:mc="http://schemas.openxmlformats.org/markup-compatibility/2006">
          <mc:Choice Requires="x14">
            <control shapeId="7242" r:id="rId15" name="Check Box 74">
              <controlPr defaultSize="0" autoFill="0" autoLine="0" autoPict="0">
                <anchor moveWithCells="1" sizeWithCells="1">
                  <from>
                    <xdr:col>9</xdr:col>
                    <xdr:colOff>38100</xdr:colOff>
                    <xdr:row>59</xdr:row>
                    <xdr:rowOff>0</xdr:rowOff>
                  </from>
                  <to>
                    <xdr:col>9</xdr:col>
                    <xdr:colOff>622300</xdr:colOff>
                    <xdr:row>60</xdr:row>
                    <xdr:rowOff>0</xdr:rowOff>
                  </to>
                </anchor>
              </controlPr>
            </control>
          </mc:Choice>
        </mc:AlternateContent>
        <mc:AlternateContent xmlns:mc="http://schemas.openxmlformats.org/markup-compatibility/2006">
          <mc:Choice Requires="x14">
            <control shapeId="7243" r:id="rId16" name="Check Box 75">
              <controlPr defaultSize="0" autoFill="0" autoLine="0" autoPict="0">
                <anchor moveWithCells="1" sizeWithCells="1">
                  <from>
                    <xdr:col>9</xdr:col>
                    <xdr:colOff>38100</xdr:colOff>
                    <xdr:row>60</xdr:row>
                    <xdr:rowOff>0</xdr:rowOff>
                  </from>
                  <to>
                    <xdr:col>9</xdr:col>
                    <xdr:colOff>622300</xdr:colOff>
                    <xdr:row>61</xdr:row>
                    <xdr:rowOff>0</xdr:rowOff>
                  </to>
                </anchor>
              </controlPr>
            </control>
          </mc:Choice>
        </mc:AlternateContent>
        <mc:AlternateContent xmlns:mc="http://schemas.openxmlformats.org/markup-compatibility/2006">
          <mc:Choice Requires="x14">
            <control shapeId="7244" r:id="rId17" name="Check Box 76">
              <controlPr defaultSize="0" autoFill="0" autoLine="0" autoPict="0">
                <anchor moveWithCells="1" sizeWithCells="1">
                  <from>
                    <xdr:col>9</xdr:col>
                    <xdr:colOff>38100</xdr:colOff>
                    <xdr:row>61</xdr:row>
                    <xdr:rowOff>0</xdr:rowOff>
                  </from>
                  <to>
                    <xdr:col>9</xdr:col>
                    <xdr:colOff>622300</xdr:colOff>
                    <xdr:row>62</xdr:row>
                    <xdr:rowOff>0</xdr:rowOff>
                  </to>
                </anchor>
              </controlPr>
            </control>
          </mc:Choice>
        </mc:AlternateContent>
        <mc:AlternateContent xmlns:mc="http://schemas.openxmlformats.org/markup-compatibility/2006">
          <mc:Choice Requires="x14">
            <control shapeId="7245" r:id="rId18" name="Check Box 77">
              <controlPr defaultSize="0" autoFill="0" autoLine="0" autoPict="0">
                <anchor moveWithCells="1" sizeWithCells="1">
                  <from>
                    <xdr:col>9</xdr:col>
                    <xdr:colOff>38100</xdr:colOff>
                    <xdr:row>62</xdr:row>
                    <xdr:rowOff>0</xdr:rowOff>
                  </from>
                  <to>
                    <xdr:col>9</xdr:col>
                    <xdr:colOff>622300</xdr:colOff>
                    <xdr:row>63</xdr:row>
                    <xdr:rowOff>0</xdr:rowOff>
                  </to>
                </anchor>
              </controlPr>
            </control>
          </mc:Choice>
        </mc:AlternateContent>
        <mc:AlternateContent xmlns:mc="http://schemas.openxmlformats.org/markup-compatibility/2006">
          <mc:Choice Requires="x14">
            <control shapeId="7246" r:id="rId19" name="Check Box 78">
              <controlPr defaultSize="0" autoFill="0" autoLine="0" autoPict="0">
                <anchor moveWithCells="1" sizeWithCells="1">
                  <from>
                    <xdr:col>10</xdr:col>
                    <xdr:colOff>215900</xdr:colOff>
                    <xdr:row>21</xdr:row>
                    <xdr:rowOff>0</xdr:rowOff>
                  </from>
                  <to>
                    <xdr:col>10</xdr:col>
                    <xdr:colOff>431800</xdr:colOff>
                    <xdr:row>22</xdr:row>
                    <xdr:rowOff>0</xdr:rowOff>
                  </to>
                </anchor>
              </controlPr>
            </control>
          </mc:Choice>
        </mc:AlternateContent>
        <mc:AlternateContent xmlns:mc="http://schemas.openxmlformats.org/markup-compatibility/2006">
          <mc:Choice Requires="x14">
            <control shapeId="7247" r:id="rId20" name="Check Box 79">
              <controlPr defaultSize="0" autoFill="0" autoLine="0" autoPict="0">
                <anchor moveWithCells="1" sizeWithCells="1">
                  <from>
                    <xdr:col>11</xdr:col>
                    <xdr:colOff>215900</xdr:colOff>
                    <xdr:row>21</xdr:row>
                    <xdr:rowOff>0</xdr:rowOff>
                  </from>
                  <to>
                    <xdr:col>11</xdr:col>
                    <xdr:colOff>431800</xdr:colOff>
                    <xdr:row>22</xdr:row>
                    <xdr:rowOff>0</xdr:rowOff>
                  </to>
                </anchor>
              </controlPr>
            </control>
          </mc:Choice>
        </mc:AlternateContent>
        <mc:AlternateContent xmlns:mc="http://schemas.openxmlformats.org/markup-compatibility/2006">
          <mc:Choice Requires="x14">
            <control shapeId="7248" r:id="rId21" name="Check Box 80">
              <controlPr defaultSize="0" autoFill="0" autoLine="0" autoPict="0">
                <anchor moveWithCells="1" sizeWithCells="1">
                  <from>
                    <xdr:col>12</xdr:col>
                    <xdr:colOff>215900</xdr:colOff>
                    <xdr:row>21</xdr:row>
                    <xdr:rowOff>0</xdr:rowOff>
                  </from>
                  <to>
                    <xdr:col>12</xdr:col>
                    <xdr:colOff>431800</xdr:colOff>
                    <xdr:row>22</xdr:row>
                    <xdr:rowOff>0</xdr:rowOff>
                  </to>
                </anchor>
              </controlPr>
            </control>
          </mc:Choice>
        </mc:AlternateContent>
        <mc:AlternateContent xmlns:mc="http://schemas.openxmlformats.org/markup-compatibility/2006">
          <mc:Choice Requires="x14">
            <control shapeId="7249" r:id="rId22" name="Check Box 81">
              <controlPr defaultSize="0" autoFill="0" autoLine="0" autoPict="0">
                <anchor moveWithCells="1" sizeWithCells="1">
                  <from>
                    <xdr:col>12</xdr:col>
                    <xdr:colOff>215900</xdr:colOff>
                    <xdr:row>22</xdr:row>
                    <xdr:rowOff>0</xdr:rowOff>
                  </from>
                  <to>
                    <xdr:col>12</xdr:col>
                    <xdr:colOff>431800</xdr:colOff>
                    <xdr:row>23</xdr:row>
                    <xdr:rowOff>0</xdr:rowOff>
                  </to>
                </anchor>
              </controlPr>
            </control>
          </mc:Choice>
        </mc:AlternateContent>
        <mc:AlternateContent xmlns:mc="http://schemas.openxmlformats.org/markup-compatibility/2006">
          <mc:Choice Requires="x14">
            <control shapeId="7250" r:id="rId23" name="Check Box 82">
              <controlPr defaultSize="0" autoFill="0" autoLine="0" autoPict="0">
                <anchor moveWithCells="1" sizeWithCells="1">
                  <from>
                    <xdr:col>11</xdr:col>
                    <xdr:colOff>215900</xdr:colOff>
                    <xdr:row>22</xdr:row>
                    <xdr:rowOff>0</xdr:rowOff>
                  </from>
                  <to>
                    <xdr:col>11</xdr:col>
                    <xdr:colOff>431800</xdr:colOff>
                    <xdr:row>23</xdr:row>
                    <xdr:rowOff>0</xdr:rowOff>
                  </to>
                </anchor>
              </controlPr>
            </control>
          </mc:Choice>
        </mc:AlternateContent>
        <mc:AlternateContent xmlns:mc="http://schemas.openxmlformats.org/markup-compatibility/2006">
          <mc:Choice Requires="x14">
            <control shapeId="7251" r:id="rId24" name="Check Box 83">
              <controlPr defaultSize="0" autoFill="0" autoLine="0" autoPict="0">
                <anchor moveWithCells="1" sizeWithCells="1">
                  <from>
                    <xdr:col>10</xdr:col>
                    <xdr:colOff>215900</xdr:colOff>
                    <xdr:row>22</xdr:row>
                    <xdr:rowOff>0</xdr:rowOff>
                  </from>
                  <to>
                    <xdr:col>10</xdr:col>
                    <xdr:colOff>431800</xdr:colOff>
                    <xdr:row>23</xdr:row>
                    <xdr:rowOff>0</xdr:rowOff>
                  </to>
                </anchor>
              </controlPr>
            </control>
          </mc:Choice>
        </mc:AlternateContent>
        <mc:AlternateContent xmlns:mc="http://schemas.openxmlformats.org/markup-compatibility/2006">
          <mc:Choice Requires="x14">
            <control shapeId="7252" r:id="rId25" name="Check Box 84">
              <controlPr defaultSize="0" autoFill="0" autoLine="0" autoPict="0">
                <anchor moveWithCells="1" sizeWithCells="1">
                  <from>
                    <xdr:col>10</xdr:col>
                    <xdr:colOff>215900</xdr:colOff>
                    <xdr:row>31</xdr:row>
                    <xdr:rowOff>0</xdr:rowOff>
                  </from>
                  <to>
                    <xdr:col>10</xdr:col>
                    <xdr:colOff>431800</xdr:colOff>
                    <xdr:row>32</xdr:row>
                    <xdr:rowOff>0</xdr:rowOff>
                  </to>
                </anchor>
              </controlPr>
            </control>
          </mc:Choice>
        </mc:AlternateContent>
        <mc:AlternateContent xmlns:mc="http://schemas.openxmlformats.org/markup-compatibility/2006">
          <mc:Choice Requires="x14">
            <control shapeId="7253" r:id="rId26" name="Check Box 85">
              <controlPr defaultSize="0" autoFill="0" autoLine="0" autoPict="0">
                <anchor moveWithCells="1" sizeWithCells="1">
                  <from>
                    <xdr:col>11</xdr:col>
                    <xdr:colOff>215900</xdr:colOff>
                    <xdr:row>31</xdr:row>
                    <xdr:rowOff>0</xdr:rowOff>
                  </from>
                  <to>
                    <xdr:col>11</xdr:col>
                    <xdr:colOff>431800</xdr:colOff>
                    <xdr:row>32</xdr:row>
                    <xdr:rowOff>0</xdr:rowOff>
                  </to>
                </anchor>
              </controlPr>
            </control>
          </mc:Choice>
        </mc:AlternateContent>
        <mc:AlternateContent xmlns:mc="http://schemas.openxmlformats.org/markup-compatibility/2006">
          <mc:Choice Requires="x14">
            <control shapeId="7254" r:id="rId27" name="Check Box 86">
              <controlPr defaultSize="0" autoFill="0" autoLine="0" autoPict="0">
                <anchor moveWithCells="1" sizeWithCells="1">
                  <from>
                    <xdr:col>12</xdr:col>
                    <xdr:colOff>215900</xdr:colOff>
                    <xdr:row>31</xdr:row>
                    <xdr:rowOff>0</xdr:rowOff>
                  </from>
                  <to>
                    <xdr:col>12</xdr:col>
                    <xdr:colOff>431800</xdr:colOff>
                    <xdr:row>32</xdr:row>
                    <xdr:rowOff>0</xdr:rowOff>
                  </to>
                </anchor>
              </controlPr>
            </control>
          </mc:Choice>
        </mc:AlternateContent>
        <mc:AlternateContent xmlns:mc="http://schemas.openxmlformats.org/markup-compatibility/2006">
          <mc:Choice Requires="x14">
            <control shapeId="7255" r:id="rId28" name="Check Box 87">
              <controlPr defaultSize="0" autoFill="0" autoLine="0" autoPict="0">
                <anchor moveWithCells="1" sizeWithCells="1">
                  <from>
                    <xdr:col>10</xdr:col>
                    <xdr:colOff>215900</xdr:colOff>
                    <xdr:row>37</xdr:row>
                    <xdr:rowOff>0</xdr:rowOff>
                  </from>
                  <to>
                    <xdr:col>10</xdr:col>
                    <xdr:colOff>431800</xdr:colOff>
                    <xdr:row>38</xdr:row>
                    <xdr:rowOff>0</xdr:rowOff>
                  </to>
                </anchor>
              </controlPr>
            </control>
          </mc:Choice>
        </mc:AlternateContent>
        <mc:AlternateContent xmlns:mc="http://schemas.openxmlformats.org/markup-compatibility/2006">
          <mc:Choice Requires="x14">
            <control shapeId="7256" r:id="rId29" name="Check Box 88">
              <controlPr defaultSize="0" autoFill="0" autoLine="0" autoPict="0">
                <anchor moveWithCells="1" sizeWithCells="1">
                  <from>
                    <xdr:col>10</xdr:col>
                    <xdr:colOff>215900</xdr:colOff>
                    <xdr:row>38</xdr:row>
                    <xdr:rowOff>0</xdr:rowOff>
                  </from>
                  <to>
                    <xdr:col>10</xdr:col>
                    <xdr:colOff>431800</xdr:colOff>
                    <xdr:row>39</xdr:row>
                    <xdr:rowOff>0</xdr:rowOff>
                  </to>
                </anchor>
              </controlPr>
            </control>
          </mc:Choice>
        </mc:AlternateContent>
        <mc:AlternateContent xmlns:mc="http://schemas.openxmlformats.org/markup-compatibility/2006">
          <mc:Choice Requires="x14">
            <control shapeId="7257" r:id="rId30" name="Check Box 89">
              <controlPr defaultSize="0" autoFill="0" autoLine="0" autoPict="0">
                <anchor moveWithCells="1" sizeWithCells="1">
                  <from>
                    <xdr:col>11</xdr:col>
                    <xdr:colOff>215900</xdr:colOff>
                    <xdr:row>37</xdr:row>
                    <xdr:rowOff>0</xdr:rowOff>
                  </from>
                  <to>
                    <xdr:col>11</xdr:col>
                    <xdr:colOff>431800</xdr:colOff>
                    <xdr:row>38</xdr:row>
                    <xdr:rowOff>0</xdr:rowOff>
                  </to>
                </anchor>
              </controlPr>
            </control>
          </mc:Choice>
        </mc:AlternateContent>
        <mc:AlternateContent xmlns:mc="http://schemas.openxmlformats.org/markup-compatibility/2006">
          <mc:Choice Requires="x14">
            <control shapeId="7258" r:id="rId31" name="Check Box 90">
              <controlPr defaultSize="0" autoFill="0" autoLine="0" autoPict="0">
                <anchor moveWithCells="1" sizeWithCells="1">
                  <from>
                    <xdr:col>11</xdr:col>
                    <xdr:colOff>215900</xdr:colOff>
                    <xdr:row>38</xdr:row>
                    <xdr:rowOff>0</xdr:rowOff>
                  </from>
                  <to>
                    <xdr:col>11</xdr:col>
                    <xdr:colOff>431800</xdr:colOff>
                    <xdr:row>39</xdr:row>
                    <xdr:rowOff>0</xdr:rowOff>
                  </to>
                </anchor>
              </controlPr>
            </control>
          </mc:Choice>
        </mc:AlternateContent>
        <mc:AlternateContent xmlns:mc="http://schemas.openxmlformats.org/markup-compatibility/2006">
          <mc:Choice Requires="x14">
            <control shapeId="7259" r:id="rId32" name="Check Box 91">
              <controlPr defaultSize="0" autoFill="0" autoLine="0" autoPict="0">
                <anchor moveWithCells="1" sizeWithCells="1">
                  <from>
                    <xdr:col>12</xdr:col>
                    <xdr:colOff>215900</xdr:colOff>
                    <xdr:row>37</xdr:row>
                    <xdr:rowOff>0</xdr:rowOff>
                  </from>
                  <to>
                    <xdr:col>12</xdr:col>
                    <xdr:colOff>431800</xdr:colOff>
                    <xdr:row>38</xdr:row>
                    <xdr:rowOff>0</xdr:rowOff>
                  </to>
                </anchor>
              </controlPr>
            </control>
          </mc:Choice>
        </mc:AlternateContent>
        <mc:AlternateContent xmlns:mc="http://schemas.openxmlformats.org/markup-compatibility/2006">
          <mc:Choice Requires="x14">
            <control shapeId="7260" r:id="rId33" name="Check Box 92">
              <controlPr defaultSize="0" autoFill="0" autoLine="0" autoPict="0">
                <anchor moveWithCells="1" sizeWithCells="1">
                  <from>
                    <xdr:col>12</xdr:col>
                    <xdr:colOff>215900</xdr:colOff>
                    <xdr:row>38</xdr:row>
                    <xdr:rowOff>0</xdr:rowOff>
                  </from>
                  <to>
                    <xdr:col>12</xdr:col>
                    <xdr:colOff>431800</xdr:colOff>
                    <xdr:row>39</xdr:row>
                    <xdr:rowOff>0</xdr:rowOff>
                  </to>
                </anchor>
              </controlPr>
            </control>
          </mc:Choice>
        </mc:AlternateContent>
        <mc:AlternateContent xmlns:mc="http://schemas.openxmlformats.org/markup-compatibility/2006">
          <mc:Choice Requires="x14">
            <control shapeId="7261" r:id="rId34" name="Check Box 93">
              <controlPr defaultSize="0" autoFill="0" autoLine="0" autoPict="0">
                <anchor moveWithCells="1" sizeWithCells="1">
                  <from>
                    <xdr:col>10</xdr:col>
                    <xdr:colOff>215900</xdr:colOff>
                    <xdr:row>43</xdr:row>
                    <xdr:rowOff>0</xdr:rowOff>
                  </from>
                  <to>
                    <xdr:col>10</xdr:col>
                    <xdr:colOff>431800</xdr:colOff>
                    <xdr:row>44</xdr:row>
                    <xdr:rowOff>0</xdr:rowOff>
                  </to>
                </anchor>
              </controlPr>
            </control>
          </mc:Choice>
        </mc:AlternateContent>
        <mc:AlternateContent xmlns:mc="http://schemas.openxmlformats.org/markup-compatibility/2006">
          <mc:Choice Requires="x14">
            <control shapeId="7262" r:id="rId35" name="Check Box 94">
              <controlPr defaultSize="0" autoFill="0" autoLine="0" autoPict="0">
                <anchor moveWithCells="1" sizeWithCells="1">
                  <from>
                    <xdr:col>10</xdr:col>
                    <xdr:colOff>215900</xdr:colOff>
                    <xdr:row>44</xdr:row>
                    <xdr:rowOff>0</xdr:rowOff>
                  </from>
                  <to>
                    <xdr:col>10</xdr:col>
                    <xdr:colOff>431800</xdr:colOff>
                    <xdr:row>45</xdr:row>
                    <xdr:rowOff>0</xdr:rowOff>
                  </to>
                </anchor>
              </controlPr>
            </control>
          </mc:Choice>
        </mc:AlternateContent>
        <mc:AlternateContent xmlns:mc="http://schemas.openxmlformats.org/markup-compatibility/2006">
          <mc:Choice Requires="x14">
            <control shapeId="7263" r:id="rId36" name="Check Box 95">
              <controlPr defaultSize="0" autoFill="0" autoLine="0" autoPict="0">
                <anchor moveWithCells="1" sizeWithCells="1">
                  <from>
                    <xdr:col>10</xdr:col>
                    <xdr:colOff>215900</xdr:colOff>
                    <xdr:row>45</xdr:row>
                    <xdr:rowOff>0</xdr:rowOff>
                  </from>
                  <to>
                    <xdr:col>10</xdr:col>
                    <xdr:colOff>431800</xdr:colOff>
                    <xdr:row>46</xdr:row>
                    <xdr:rowOff>0</xdr:rowOff>
                  </to>
                </anchor>
              </controlPr>
            </control>
          </mc:Choice>
        </mc:AlternateContent>
        <mc:AlternateContent xmlns:mc="http://schemas.openxmlformats.org/markup-compatibility/2006">
          <mc:Choice Requires="x14">
            <control shapeId="7264" r:id="rId37" name="Check Box 96">
              <controlPr defaultSize="0" autoFill="0" autoLine="0" autoPict="0">
                <anchor moveWithCells="1" sizeWithCells="1">
                  <from>
                    <xdr:col>10</xdr:col>
                    <xdr:colOff>215900</xdr:colOff>
                    <xdr:row>46</xdr:row>
                    <xdr:rowOff>0</xdr:rowOff>
                  </from>
                  <to>
                    <xdr:col>10</xdr:col>
                    <xdr:colOff>431800</xdr:colOff>
                    <xdr:row>47</xdr:row>
                    <xdr:rowOff>0</xdr:rowOff>
                  </to>
                </anchor>
              </controlPr>
            </control>
          </mc:Choice>
        </mc:AlternateContent>
        <mc:AlternateContent xmlns:mc="http://schemas.openxmlformats.org/markup-compatibility/2006">
          <mc:Choice Requires="x14">
            <control shapeId="7265" r:id="rId38" name="Check Box 97">
              <controlPr defaultSize="0" autoFill="0" autoLine="0" autoPict="0">
                <anchor moveWithCells="1" sizeWithCells="1">
                  <from>
                    <xdr:col>11</xdr:col>
                    <xdr:colOff>215900</xdr:colOff>
                    <xdr:row>43</xdr:row>
                    <xdr:rowOff>0</xdr:rowOff>
                  </from>
                  <to>
                    <xdr:col>11</xdr:col>
                    <xdr:colOff>431800</xdr:colOff>
                    <xdr:row>44</xdr:row>
                    <xdr:rowOff>0</xdr:rowOff>
                  </to>
                </anchor>
              </controlPr>
            </control>
          </mc:Choice>
        </mc:AlternateContent>
        <mc:AlternateContent xmlns:mc="http://schemas.openxmlformats.org/markup-compatibility/2006">
          <mc:Choice Requires="x14">
            <control shapeId="7266" r:id="rId39" name="Check Box 98">
              <controlPr defaultSize="0" autoFill="0" autoLine="0" autoPict="0">
                <anchor moveWithCells="1" sizeWithCells="1">
                  <from>
                    <xdr:col>11</xdr:col>
                    <xdr:colOff>215900</xdr:colOff>
                    <xdr:row>44</xdr:row>
                    <xdr:rowOff>0</xdr:rowOff>
                  </from>
                  <to>
                    <xdr:col>11</xdr:col>
                    <xdr:colOff>431800</xdr:colOff>
                    <xdr:row>45</xdr:row>
                    <xdr:rowOff>0</xdr:rowOff>
                  </to>
                </anchor>
              </controlPr>
            </control>
          </mc:Choice>
        </mc:AlternateContent>
        <mc:AlternateContent xmlns:mc="http://schemas.openxmlformats.org/markup-compatibility/2006">
          <mc:Choice Requires="x14">
            <control shapeId="7267" r:id="rId40" name="Check Box 99">
              <controlPr defaultSize="0" autoFill="0" autoLine="0" autoPict="0">
                <anchor moveWithCells="1" sizeWithCells="1">
                  <from>
                    <xdr:col>11</xdr:col>
                    <xdr:colOff>215900</xdr:colOff>
                    <xdr:row>45</xdr:row>
                    <xdr:rowOff>0</xdr:rowOff>
                  </from>
                  <to>
                    <xdr:col>11</xdr:col>
                    <xdr:colOff>431800</xdr:colOff>
                    <xdr:row>46</xdr:row>
                    <xdr:rowOff>0</xdr:rowOff>
                  </to>
                </anchor>
              </controlPr>
            </control>
          </mc:Choice>
        </mc:AlternateContent>
        <mc:AlternateContent xmlns:mc="http://schemas.openxmlformats.org/markup-compatibility/2006">
          <mc:Choice Requires="x14">
            <control shapeId="7268" r:id="rId41" name="Check Box 100">
              <controlPr defaultSize="0" autoFill="0" autoLine="0" autoPict="0">
                <anchor moveWithCells="1" sizeWithCells="1">
                  <from>
                    <xdr:col>11</xdr:col>
                    <xdr:colOff>215900</xdr:colOff>
                    <xdr:row>46</xdr:row>
                    <xdr:rowOff>0</xdr:rowOff>
                  </from>
                  <to>
                    <xdr:col>11</xdr:col>
                    <xdr:colOff>431800</xdr:colOff>
                    <xdr:row>47</xdr:row>
                    <xdr:rowOff>0</xdr:rowOff>
                  </to>
                </anchor>
              </controlPr>
            </control>
          </mc:Choice>
        </mc:AlternateContent>
        <mc:AlternateContent xmlns:mc="http://schemas.openxmlformats.org/markup-compatibility/2006">
          <mc:Choice Requires="x14">
            <control shapeId="7269" r:id="rId42" name="Check Box 101">
              <controlPr defaultSize="0" autoFill="0" autoLine="0" autoPict="0">
                <anchor moveWithCells="1" sizeWithCells="1">
                  <from>
                    <xdr:col>12</xdr:col>
                    <xdr:colOff>215900</xdr:colOff>
                    <xdr:row>43</xdr:row>
                    <xdr:rowOff>0</xdr:rowOff>
                  </from>
                  <to>
                    <xdr:col>12</xdr:col>
                    <xdr:colOff>431800</xdr:colOff>
                    <xdr:row>44</xdr:row>
                    <xdr:rowOff>0</xdr:rowOff>
                  </to>
                </anchor>
              </controlPr>
            </control>
          </mc:Choice>
        </mc:AlternateContent>
        <mc:AlternateContent xmlns:mc="http://schemas.openxmlformats.org/markup-compatibility/2006">
          <mc:Choice Requires="x14">
            <control shapeId="7270" r:id="rId43" name="Check Box 102">
              <controlPr defaultSize="0" autoFill="0" autoLine="0" autoPict="0">
                <anchor moveWithCells="1" sizeWithCells="1">
                  <from>
                    <xdr:col>12</xdr:col>
                    <xdr:colOff>215900</xdr:colOff>
                    <xdr:row>44</xdr:row>
                    <xdr:rowOff>0</xdr:rowOff>
                  </from>
                  <to>
                    <xdr:col>12</xdr:col>
                    <xdr:colOff>431800</xdr:colOff>
                    <xdr:row>45</xdr:row>
                    <xdr:rowOff>0</xdr:rowOff>
                  </to>
                </anchor>
              </controlPr>
            </control>
          </mc:Choice>
        </mc:AlternateContent>
        <mc:AlternateContent xmlns:mc="http://schemas.openxmlformats.org/markup-compatibility/2006">
          <mc:Choice Requires="x14">
            <control shapeId="7271" r:id="rId44" name="Check Box 103">
              <controlPr defaultSize="0" autoFill="0" autoLine="0" autoPict="0">
                <anchor moveWithCells="1" sizeWithCells="1">
                  <from>
                    <xdr:col>12</xdr:col>
                    <xdr:colOff>215900</xdr:colOff>
                    <xdr:row>45</xdr:row>
                    <xdr:rowOff>0</xdr:rowOff>
                  </from>
                  <to>
                    <xdr:col>12</xdr:col>
                    <xdr:colOff>431800</xdr:colOff>
                    <xdr:row>46</xdr:row>
                    <xdr:rowOff>0</xdr:rowOff>
                  </to>
                </anchor>
              </controlPr>
            </control>
          </mc:Choice>
        </mc:AlternateContent>
        <mc:AlternateContent xmlns:mc="http://schemas.openxmlformats.org/markup-compatibility/2006">
          <mc:Choice Requires="x14">
            <control shapeId="7272" r:id="rId45" name="Check Box 104">
              <controlPr defaultSize="0" autoFill="0" autoLine="0" autoPict="0">
                <anchor moveWithCells="1" sizeWithCells="1">
                  <from>
                    <xdr:col>12</xdr:col>
                    <xdr:colOff>215900</xdr:colOff>
                    <xdr:row>46</xdr:row>
                    <xdr:rowOff>0</xdr:rowOff>
                  </from>
                  <to>
                    <xdr:col>12</xdr:col>
                    <xdr:colOff>431800</xdr:colOff>
                    <xdr:row>47</xdr:row>
                    <xdr:rowOff>0</xdr:rowOff>
                  </to>
                </anchor>
              </controlPr>
            </control>
          </mc:Choice>
        </mc:AlternateContent>
        <mc:AlternateContent xmlns:mc="http://schemas.openxmlformats.org/markup-compatibility/2006">
          <mc:Choice Requires="x14">
            <control shapeId="7273" r:id="rId46" name="Check Box 105">
              <controlPr defaultSize="0" autoFill="0" autoLine="0" autoPict="0">
                <anchor moveWithCells="1" sizeWithCells="1">
                  <from>
                    <xdr:col>9</xdr:col>
                    <xdr:colOff>38100</xdr:colOff>
                    <xdr:row>66</xdr:row>
                    <xdr:rowOff>0</xdr:rowOff>
                  </from>
                  <to>
                    <xdr:col>9</xdr:col>
                    <xdr:colOff>622300</xdr:colOff>
                    <xdr:row>67</xdr:row>
                    <xdr:rowOff>0</xdr:rowOff>
                  </to>
                </anchor>
              </controlPr>
            </control>
          </mc:Choice>
        </mc:AlternateContent>
        <mc:AlternateContent xmlns:mc="http://schemas.openxmlformats.org/markup-compatibility/2006">
          <mc:Choice Requires="x14">
            <control shapeId="7275" r:id="rId47" name="Check Box 107">
              <controlPr defaultSize="0" autoFill="0" autoLine="0" autoPict="0">
                <anchor moveWithCells="1" sizeWithCells="1">
                  <from>
                    <xdr:col>9</xdr:col>
                    <xdr:colOff>38100</xdr:colOff>
                    <xdr:row>66</xdr:row>
                    <xdr:rowOff>254000</xdr:rowOff>
                  </from>
                  <to>
                    <xdr:col>9</xdr:col>
                    <xdr:colOff>622300</xdr:colOff>
                    <xdr:row>69</xdr:row>
                    <xdr:rowOff>0</xdr:rowOff>
                  </to>
                </anchor>
              </controlPr>
            </control>
          </mc:Choice>
        </mc:AlternateContent>
        <mc:AlternateContent xmlns:mc="http://schemas.openxmlformats.org/markup-compatibility/2006">
          <mc:Choice Requires="x14">
            <control shapeId="7276" r:id="rId48" name="Check Box 108">
              <controlPr defaultSize="0" autoFill="0" autoLine="0" autoPict="0">
                <anchor moveWithCells="1" sizeWithCells="1">
                  <from>
                    <xdr:col>11</xdr:col>
                    <xdr:colOff>38100</xdr:colOff>
                    <xdr:row>79</xdr:row>
                    <xdr:rowOff>0</xdr:rowOff>
                  </from>
                  <to>
                    <xdr:col>11</xdr:col>
                    <xdr:colOff>622300</xdr:colOff>
                    <xdr:row>80</xdr:row>
                    <xdr:rowOff>0</xdr:rowOff>
                  </to>
                </anchor>
              </controlPr>
            </control>
          </mc:Choice>
        </mc:AlternateContent>
        <mc:AlternateContent xmlns:mc="http://schemas.openxmlformats.org/markup-compatibility/2006">
          <mc:Choice Requires="x14">
            <control shapeId="7277" r:id="rId49" name="Check Box 109">
              <controlPr defaultSize="0" autoFill="0" autoLine="0" autoPict="0">
                <anchor moveWithCells="1" sizeWithCells="1">
                  <from>
                    <xdr:col>11</xdr:col>
                    <xdr:colOff>38100</xdr:colOff>
                    <xdr:row>80</xdr:row>
                    <xdr:rowOff>0</xdr:rowOff>
                  </from>
                  <to>
                    <xdr:col>11</xdr:col>
                    <xdr:colOff>622300</xdr:colOff>
                    <xdr:row>81</xdr:row>
                    <xdr:rowOff>0</xdr:rowOff>
                  </to>
                </anchor>
              </controlPr>
            </control>
          </mc:Choice>
        </mc:AlternateContent>
        <mc:AlternateContent xmlns:mc="http://schemas.openxmlformats.org/markup-compatibility/2006">
          <mc:Choice Requires="x14">
            <control shapeId="7278" r:id="rId50" name="Check Box 110">
              <controlPr defaultSize="0" autoFill="0" autoLine="0" autoPict="0">
                <anchor moveWithCells="1" sizeWithCells="1">
                  <from>
                    <xdr:col>11</xdr:col>
                    <xdr:colOff>38100</xdr:colOff>
                    <xdr:row>81</xdr:row>
                    <xdr:rowOff>0</xdr:rowOff>
                  </from>
                  <to>
                    <xdr:col>11</xdr:col>
                    <xdr:colOff>622300</xdr:colOff>
                    <xdr:row>82</xdr:row>
                    <xdr:rowOff>0</xdr:rowOff>
                  </to>
                </anchor>
              </controlPr>
            </control>
          </mc:Choice>
        </mc:AlternateContent>
        <mc:AlternateContent xmlns:mc="http://schemas.openxmlformats.org/markup-compatibility/2006">
          <mc:Choice Requires="x14">
            <control shapeId="7279" r:id="rId51" name="Check Box 111">
              <controlPr defaultSize="0" autoFill="0" autoLine="0" autoPict="0">
                <anchor moveWithCells="1" sizeWithCells="1">
                  <from>
                    <xdr:col>14</xdr:col>
                    <xdr:colOff>38100</xdr:colOff>
                    <xdr:row>79</xdr:row>
                    <xdr:rowOff>0</xdr:rowOff>
                  </from>
                  <to>
                    <xdr:col>14</xdr:col>
                    <xdr:colOff>622300</xdr:colOff>
                    <xdr:row>80</xdr:row>
                    <xdr:rowOff>0</xdr:rowOff>
                  </to>
                </anchor>
              </controlPr>
            </control>
          </mc:Choice>
        </mc:AlternateContent>
        <mc:AlternateContent xmlns:mc="http://schemas.openxmlformats.org/markup-compatibility/2006">
          <mc:Choice Requires="x14">
            <control shapeId="7280" r:id="rId52" name="Check Box 112">
              <controlPr defaultSize="0" autoFill="0" autoLine="0" autoPict="0">
                <anchor moveWithCells="1" sizeWithCells="1">
                  <from>
                    <xdr:col>14</xdr:col>
                    <xdr:colOff>38100</xdr:colOff>
                    <xdr:row>80</xdr:row>
                    <xdr:rowOff>0</xdr:rowOff>
                  </from>
                  <to>
                    <xdr:col>14</xdr:col>
                    <xdr:colOff>622300</xdr:colOff>
                    <xdr:row>81</xdr:row>
                    <xdr:rowOff>0</xdr:rowOff>
                  </to>
                </anchor>
              </controlPr>
            </control>
          </mc:Choice>
        </mc:AlternateContent>
        <mc:AlternateContent xmlns:mc="http://schemas.openxmlformats.org/markup-compatibility/2006">
          <mc:Choice Requires="x14">
            <control shapeId="7281" r:id="rId53" name="Check Box 113">
              <controlPr defaultSize="0" autoFill="0" autoLine="0" autoPict="0">
                <anchor moveWithCells="1" sizeWithCells="1">
                  <from>
                    <xdr:col>14</xdr:col>
                    <xdr:colOff>38100</xdr:colOff>
                    <xdr:row>81</xdr:row>
                    <xdr:rowOff>0</xdr:rowOff>
                  </from>
                  <to>
                    <xdr:col>14</xdr:col>
                    <xdr:colOff>622300</xdr:colOff>
                    <xdr:row>82</xdr:row>
                    <xdr:rowOff>0</xdr:rowOff>
                  </to>
                </anchor>
              </controlPr>
            </control>
          </mc:Choice>
        </mc:AlternateContent>
        <mc:AlternateContent xmlns:mc="http://schemas.openxmlformats.org/markup-compatibility/2006">
          <mc:Choice Requires="x14">
            <control shapeId="7282" r:id="rId54" name="Check Box 114">
              <controlPr defaultSize="0" autoFill="0" autoLine="0" autoPict="0">
                <anchor moveWithCells="1" sizeWithCells="1">
                  <from>
                    <xdr:col>17</xdr:col>
                    <xdr:colOff>38100</xdr:colOff>
                    <xdr:row>79</xdr:row>
                    <xdr:rowOff>0</xdr:rowOff>
                  </from>
                  <to>
                    <xdr:col>17</xdr:col>
                    <xdr:colOff>622300</xdr:colOff>
                    <xdr:row>80</xdr:row>
                    <xdr:rowOff>0</xdr:rowOff>
                  </to>
                </anchor>
              </controlPr>
            </control>
          </mc:Choice>
        </mc:AlternateContent>
        <mc:AlternateContent xmlns:mc="http://schemas.openxmlformats.org/markup-compatibility/2006">
          <mc:Choice Requires="x14">
            <control shapeId="7283" r:id="rId55" name="Check Box 115">
              <controlPr defaultSize="0" autoFill="0" autoLine="0" autoPict="0">
                <anchor moveWithCells="1" sizeWithCells="1">
                  <from>
                    <xdr:col>11</xdr:col>
                    <xdr:colOff>38100</xdr:colOff>
                    <xdr:row>82</xdr:row>
                    <xdr:rowOff>0</xdr:rowOff>
                  </from>
                  <to>
                    <xdr:col>11</xdr:col>
                    <xdr:colOff>622300</xdr:colOff>
                    <xdr:row>83</xdr:row>
                    <xdr:rowOff>0</xdr:rowOff>
                  </to>
                </anchor>
              </controlPr>
            </control>
          </mc:Choice>
        </mc:AlternateContent>
        <mc:AlternateContent xmlns:mc="http://schemas.openxmlformats.org/markup-compatibility/2006">
          <mc:Choice Requires="x14">
            <control shapeId="7284" r:id="rId56" name="Check Box 116">
              <controlPr defaultSize="0" autoFill="0" autoLine="0" autoPict="0">
                <anchor moveWithCells="1" sizeWithCells="1">
                  <from>
                    <xdr:col>11</xdr:col>
                    <xdr:colOff>38100</xdr:colOff>
                    <xdr:row>83</xdr:row>
                    <xdr:rowOff>0</xdr:rowOff>
                  </from>
                  <to>
                    <xdr:col>11</xdr:col>
                    <xdr:colOff>622300</xdr:colOff>
                    <xdr:row>84</xdr:row>
                    <xdr:rowOff>0</xdr:rowOff>
                  </to>
                </anchor>
              </controlPr>
            </control>
          </mc:Choice>
        </mc:AlternateContent>
        <mc:AlternateContent xmlns:mc="http://schemas.openxmlformats.org/markup-compatibility/2006">
          <mc:Choice Requires="x14">
            <control shapeId="7285" r:id="rId57" name="Check Box 117">
              <controlPr defaultSize="0" autoFill="0" autoLine="0" autoPict="0">
                <anchor moveWithCells="1" sizeWithCells="1">
                  <from>
                    <xdr:col>14</xdr:col>
                    <xdr:colOff>38100</xdr:colOff>
                    <xdr:row>82</xdr:row>
                    <xdr:rowOff>0</xdr:rowOff>
                  </from>
                  <to>
                    <xdr:col>14</xdr:col>
                    <xdr:colOff>622300</xdr:colOff>
                    <xdr:row>83</xdr:row>
                    <xdr:rowOff>0</xdr:rowOff>
                  </to>
                </anchor>
              </controlPr>
            </control>
          </mc:Choice>
        </mc:AlternateContent>
        <mc:AlternateContent xmlns:mc="http://schemas.openxmlformats.org/markup-compatibility/2006">
          <mc:Choice Requires="x14">
            <control shapeId="7286" r:id="rId58" name="Check Box 118">
              <controlPr defaultSize="0" autoFill="0" autoLine="0" autoPict="0">
                <anchor moveWithCells="1" sizeWithCells="1">
                  <from>
                    <xdr:col>14</xdr:col>
                    <xdr:colOff>38100</xdr:colOff>
                    <xdr:row>83</xdr:row>
                    <xdr:rowOff>0</xdr:rowOff>
                  </from>
                  <to>
                    <xdr:col>14</xdr:col>
                    <xdr:colOff>622300</xdr:colOff>
                    <xdr:row>84</xdr:row>
                    <xdr:rowOff>0</xdr:rowOff>
                  </to>
                </anchor>
              </controlPr>
            </control>
          </mc:Choice>
        </mc:AlternateContent>
        <mc:AlternateContent xmlns:mc="http://schemas.openxmlformats.org/markup-compatibility/2006">
          <mc:Choice Requires="x14">
            <control shapeId="7287" r:id="rId59" name="Check Box 119">
              <controlPr defaultSize="0" autoFill="0" autoLine="0" autoPict="0">
                <anchor moveWithCells="1" sizeWithCells="1">
                  <from>
                    <xdr:col>17</xdr:col>
                    <xdr:colOff>38100</xdr:colOff>
                    <xdr:row>82</xdr:row>
                    <xdr:rowOff>0</xdr:rowOff>
                  </from>
                  <to>
                    <xdr:col>17</xdr:col>
                    <xdr:colOff>622300</xdr:colOff>
                    <xdr:row>83</xdr:row>
                    <xdr:rowOff>0</xdr:rowOff>
                  </to>
                </anchor>
              </controlPr>
            </control>
          </mc:Choice>
        </mc:AlternateContent>
        <mc:AlternateContent xmlns:mc="http://schemas.openxmlformats.org/markup-compatibility/2006">
          <mc:Choice Requires="x14">
            <control shapeId="7288" r:id="rId60" name="Check Box 120">
              <controlPr defaultSize="0" autoFill="0" autoLine="0" autoPict="0">
                <anchor moveWithCells="1" sizeWithCells="1">
                  <from>
                    <xdr:col>11</xdr:col>
                    <xdr:colOff>38100</xdr:colOff>
                    <xdr:row>84</xdr:row>
                    <xdr:rowOff>0</xdr:rowOff>
                  </from>
                  <to>
                    <xdr:col>11</xdr:col>
                    <xdr:colOff>622300</xdr:colOff>
                    <xdr:row>85</xdr:row>
                    <xdr:rowOff>0</xdr:rowOff>
                  </to>
                </anchor>
              </controlPr>
            </control>
          </mc:Choice>
        </mc:AlternateContent>
        <mc:AlternateContent xmlns:mc="http://schemas.openxmlformats.org/markup-compatibility/2006">
          <mc:Choice Requires="x14">
            <control shapeId="7289" r:id="rId61" name="Check Box 121">
              <controlPr defaultSize="0" autoFill="0" autoLine="0" autoPict="0">
                <anchor moveWithCells="1" sizeWithCells="1">
                  <from>
                    <xdr:col>11</xdr:col>
                    <xdr:colOff>38100</xdr:colOff>
                    <xdr:row>85</xdr:row>
                    <xdr:rowOff>0</xdr:rowOff>
                  </from>
                  <to>
                    <xdr:col>11</xdr:col>
                    <xdr:colOff>622300</xdr:colOff>
                    <xdr:row>86</xdr:row>
                    <xdr:rowOff>0</xdr:rowOff>
                  </to>
                </anchor>
              </controlPr>
            </control>
          </mc:Choice>
        </mc:AlternateContent>
        <mc:AlternateContent xmlns:mc="http://schemas.openxmlformats.org/markup-compatibility/2006">
          <mc:Choice Requires="x14">
            <control shapeId="7290" r:id="rId62" name="Check Box 122">
              <controlPr defaultSize="0" autoFill="0" autoLine="0" autoPict="0">
                <anchor moveWithCells="1" sizeWithCells="1">
                  <from>
                    <xdr:col>17</xdr:col>
                    <xdr:colOff>38100</xdr:colOff>
                    <xdr:row>84</xdr:row>
                    <xdr:rowOff>0</xdr:rowOff>
                  </from>
                  <to>
                    <xdr:col>17</xdr:col>
                    <xdr:colOff>622300</xdr:colOff>
                    <xdr:row>85</xdr:row>
                    <xdr:rowOff>0</xdr:rowOff>
                  </to>
                </anchor>
              </controlPr>
            </control>
          </mc:Choice>
        </mc:AlternateContent>
        <mc:AlternateContent xmlns:mc="http://schemas.openxmlformats.org/markup-compatibility/2006">
          <mc:Choice Requires="x14">
            <control shapeId="7291" r:id="rId63" name="Check Box 123">
              <controlPr defaultSize="0" autoFill="0" autoLine="0" autoPict="0">
                <anchor moveWithCells="1" sizeWithCells="1">
                  <from>
                    <xdr:col>11</xdr:col>
                    <xdr:colOff>38100</xdr:colOff>
                    <xdr:row>86</xdr:row>
                    <xdr:rowOff>0</xdr:rowOff>
                  </from>
                  <to>
                    <xdr:col>11</xdr:col>
                    <xdr:colOff>622300</xdr:colOff>
                    <xdr:row>87</xdr:row>
                    <xdr:rowOff>0</xdr:rowOff>
                  </to>
                </anchor>
              </controlPr>
            </control>
          </mc:Choice>
        </mc:AlternateContent>
        <mc:AlternateContent xmlns:mc="http://schemas.openxmlformats.org/markup-compatibility/2006">
          <mc:Choice Requires="x14">
            <control shapeId="7292" r:id="rId64" name="Check Box 124">
              <controlPr defaultSize="0" autoFill="0" autoLine="0" autoPict="0">
                <anchor moveWithCells="1" sizeWithCells="1">
                  <from>
                    <xdr:col>11</xdr:col>
                    <xdr:colOff>38100</xdr:colOff>
                    <xdr:row>87</xdr:row>
                    <xdr:rowOff>0</xdr:rowOff>
                  </from>
                  <to>
                    <xdr:col>11</xdr:col>
                    <xdr:colOff>622300</xdr:colOff>
                    <xdr:row>88</xdr:row>
                    <xdr:rowOff>0</xdr:rowOff>
                  </to>
                </anchor>
              </controlPr>
            </control>
          </mc:Choice>
        </mc:AlternateContent>
        <mc:AlternateContent xmlns:mc="http://schemas.openxmlformats.org/markup-compatibility/2006">
          <mc:Choice Requires="x14">
            <control shapeId="7293" r:id="rId65" name="Check Box 125">
              <controlPr defaultSize="0" autoFill="0" autoLine="0" autoPict="0">
                <anchor moveWithCells="1" sizeWithCells="1">
                  <from>
                    <xdr:col>14</xdr:col>
                    <xdr:colOff>38100</xdr:colOff>
                    <xdr:row>86</xdr:row>
                    <xdr:rowOff>0</xdr:rowOff>
                  </from>
                  <to>
                    <xdr:col>14</xdr:col>
                    <xdr:colOff>622300</xdr:colOff>
                    <xdr:row>87</xdr:row>
                    <xdr:rowOff>0</xdr:rowOff>
                  </to>
                </anchor>
              </controlPr>
            </control>
          </mc:Choice>
        </mc:AlternateContent>
        <mc:AlternateContent xmlns:mc="http://schemas.openxmlformats.org/markup-compatibility/2006">
          <mc:Choice Requires="x14">
            <control shapeId="7294" r:id="rId66" name="Check Box 126">
              <controlPr defaultSize="0" autoFill="0" autoLine="0" autoPict="0">
                <anchor moveWithCells="1" sizeWithCells="1">
                  <from>
                    <xdr:col>14</xdr:col>
                    <xdr:colOff>38100</xdr:colOff>
                    <xdr:row>87</xdr:row>
                    <xdr:rowOff>0</xdr:rowOff>
                  </from>
                  <to>
                    <xdr:col>14</xdr:col>
                    <xdr:colOff>622300</xdr:colOff>
                    <xdr:row>88</xdr:row>
                    <xdr:rowOff>0</xdr:rowOff>
                  </to>
                </anchor>
              </controlPr>
            </control>
          </mc:Choice>
        </mc:AlternateContent>
        <mc:AlternateContent xmlns:mc="http://schemas.openxmlformats.org/markup-compatibility/2006">
          <mc:Choice Requires="x14">
            <control shapeId="7295" r:id="rId67" name="Check Box 127">
              <controlPr defaultSize="0" autoFill="0" autoLine="0" autoPict="0">
                <anchor moveWithCells="1" sizeWithCells="1">
                  <from>
                    <xdr:col>11</xdr:col>
                    <xdr:colOff>38100</xdr:colOff>
                    <xdr:row>88</xdr:row>
                    <xdr:rowOff>0</xdr:rowOff>
                  </from>
                  <to>
                    <xdr:col>11</xdr:col>
                    <xdr:colOff>622300</xdr:colOff>
                    <xdr:row>89</xdr:row>
                    <xdr:rowOff>0</xdr:rowOff>
                  </to>
                </anchor>
              </controlPr>
            </control>
          </mc:Choice>
        </mc:AlternateContent>
        <mc:AlternateContent xmlns:mc="http://schemas.openxmlformats.org/markup-compatibility/2006">
          <mc:Choice Requires="x14">
            <control shapeId="7296" r:id="rId68" name="Check Box 128">
              <controlPr defaultSize="0" autoFill="0" autoLine="0" autoPict="0">
                <anchor moveWithCells="1" sizeWithCells="1">
                  <from>
                    <xdr:col>14</xdr:col>
                    <xdr:colOff>38100</xdr:colOff>
                    <xdr:row>88</xdr:row>
                    <xdr:rowOff>0</xdr:rowOff>
                  </from>
                  <to>
                    <xdr:col>14</xdr:col>
                    <xdr:colOff>622300</xdr:colOff>
                    <xdr:row>89</xdr:row>
                    <xdr:rowOff>0</xdr:rowOff>
                  </to>
                </anchor>
              </controlPr>
            </control>
          </mc:Choice>
        </mc:AlternateContent>
        <mc:AlternateContent xmlns:mc="http://schemas.openxmlformats.org/markup-compatibility/2006">
          <mc:Choice Requires="x14">
            <control shapeId="7297" r:id="rId69" name="Check Box 129">
              <controlPr defaultSize="0" autoFill="0" autoLine="0" autoPict="0">
                <anchor moveWithCells="1" sizeWithCells="1">
                  <from>
                    <xdr:col>17</xdr:col>
                    <xdr:colOff>38100</xdr:colOff>
                    <xdr:row>88</xdr:row>
                    <xdr:rowOff>0</xdr:rowOff>
                  </from>
                  <to>
                    <xdr:col>17</xdr:col>
                    <xdr:colOff>622300</xdr:colOff>
                    <xdr:row>89</xdr:row>
                    <xdr:rowOff>0</xdr:rowOff>
                  </to>
                </anchor>
              </controlPr>
            </control>
          </mc:Choice>
        </mc:AlternateContent>
        <mc:AlternateContent xmlns:mc="http://schemas.openxmlformats.org/markup-compatibility/2006">
          <mc:Choice Requires="x14">
            <control shapeId="7298" r:id="rId70" name="Check Box 130">
              <controlPr defaultSize="0" autoFill="0" autoLine="0" autoPict="0">
                <anchor moveWithCells="1" sizeWithCells="1">
                  <from>
                    <xdr:col>11</xdr:col>
                    <xdr:colOff>38100</xdr:colOff>
                    <xdr:row>89</xdr:row>
                    <xdr:rowOff>0</xdr:rowOff>
                  </from>
                  <to>
                    <xdr:col>11</xdr:col>
                    <xdr:colOff>622300</xdr:colOff>
                    <xdr:row>90</xdr:row>
                    <xdr:rowOff>0</xdr:rowOff>
                  </to>
                </anchor>
              </controlPr>
            </control>
          </mc:Choice>
        </mc:AlternateContent>
        <mc:AlternateContent xmlns:mc="http://schemas.openxmlformats.org/markup-compatibility/2006">
          <mc:Choice Requires="x14">
            <control shapeId="7299" r:id="rId71" name="Check Box 131">
              <controlPr defaultSize="0" autoFill="0" autoLine="0" autoPict="0">
                <anchor moveWithCells="1" sizeWithCells="1">
                  <from>
                    <xdr:col>11</xdr:col>
                    <xdr:colOff>38100</xdr:colOff>
                    <xdr:row>90</xdr:row>
                    <xdr:rowOff>0</xdr:rowOff>
                  </from>
                  <to>
                    <xdr:col>11</xdr:col>
                    <xdr:colOff>622300</xdr:colOff>
                    <xdr:row>91</xdr:row>
                    <xdr:rowOff>0</xdr:rowOff>
                  </to>
                </anchor>
              </controlPr>
            </control>
          </mc:Choice>
        </mc:AlternateContent>
        <mc:AlternateContent xmlns:mc="http://schemas.openxmlformats.org/markup-compatibility/2006">
          <mc:Choice Requires="x14">
            <control shapeId="7300" r:id="rId72" name="Check Box 132">
              <controlPr defaultSize="0" autoFill="0" autoLine="0" autoPict="0">
                <anchor moveWithCells="1" sizeWithCells="1">
                  <from>
                    <xdr:col>11</xdr:col>
                    <xdr:colOff>38100</xdr:colOff>
                    <xdr:row>91</xdr:row>
                    <xdr:rowOff>0</xdr:rowOff>
                  </from>
                  <to>
                    <xdr:col>11</xdr:col>
                    <xdr:colOff>622300</xdr:colOff>
                    <xdr:row>92</xdr:row>
                    <xdr:rowOff>0</xdr:rowOff>
                  </to>
                </anchor>
              </controlPr>
            </control>
          </mc:Choice>
        </mc:AlternateContent>
        <mc:AlternateContent xmlns:mc="http://schemas.openxmlformats.org/markup-compatibility/2006">
          <mc:Choice Requires="x14">
            <control shapeId="7301" r:id="rId73" name="Check Box 133">
              <controlPr defaultSize="0" autoFill="0" autoLine="0" autoPict="0">
                <anchor moveWithCells="1" sizeWithCells="1">
                  <from>
                    <xdr:col>14</xdr:col>
                    <xdr:colOff>38100</xdr:colOff>
                    <xdr:row>89</xdr:row>
                    <xdr:rowOff>0</xdr:rowOff>
                  </from>
                  <to>
                    <xdr:col>14</xdr:col>
                    <xdr:colOff>622300</xdr:colOff>
                    <xdr:row>90</xdr:row>
                    <xdr:rowOff>0</xdr:rowOff>
                  </to>
                </anchor>
              </controlPr>
            </control>
          </mc:Choice>
        </mc:AlternateContent>
        <mc:AlternateContent xmlns:mc="http://schemas.openxmlformats.org/markup-compatibility/2006">
          <mc:Choice Requires="x14">
            <control shapeId="7302" r:id="rId74" name="Check Box 134">
              <controlPr defaultSize="0" autoFill="0" autoLine="0" autoPict="0">
                <anchor moveWithCells="1" sizeWithCells="1">
                  <from>
                    <xdr:col>14</xdr:col>
                    <xdr:colOff>38100</xdr:colOff>
                    <xdr:row>90</xdr:row>
                    <xdr:rowOff>0</xdr:rowOff>
                  </from>
                  <to>
                    <xdr:col>14</xdr:col>
                    <xdr:colOff>622300</xdr:colOff>
                    <xdr:row>91</xdr:row>
                    <xdr:rowOff>0</xdr:rowOff>
                  </to>
                </anchor>
              </controlPr>
            </control>
          </mc:Choice>
        </mc:AlternateContent>
        <mc:AlternateContent xmlns:mc="http://schemas.openxmlformats.org/markup-compatibility/2006">
          <mc:Choice Requires="x14">
            <control shapeId="7303" r:id="rId75" name="Check Box 135">
              <controlPr defaultSize="0" autoFill="0" autoLine="0" autoPict="0">
                <anchor moveWithCells="1" sizeWithCells="1">
                  <from>
                    <xdr:col>14</xdr:col>
                    <xdr:colOff>38100</xdr:colOff>
                    <xdr:row>91</xdr:row>
                    <xdr:rowOff>0</xdr:rowOff>
                  </from>
                  <to>
                    <xdr:col>14</xdr:col>
                    <xdr:colOff>622300</xdr:colOff>
                    <xdr:row>92</xdr:row>
                    <xdr:rowOff>0</xdr:rowOff>
                  </to>
                </anchor>
              </controlPr>
            </control>
          </mc:Choice>
        </mc:AlternateContent>
        <mc:AlternateContent xmlns:mc="http://schemas.openxmlformats.org/markup-compatibility/2006">
          <mc:Choice Requires="x14">
            <control shapeId="7304" r:id="rId76" name="Check Box 136">
              <controlPr defaultSize="0" autoFill="0" autoLine="0" autoPict="0">
                <anchor moveWithCells="1" sizeWithCells="1">
                  <from>
                    <xdr:col>17</xdr:col>
                    <xdr:colOff>38100</xdr:colOff>
                    <xdr:row>89</xdr:row>
                    <xdr:rowOff>0</xdr:rowOff>
                  </from>
                  <to>
                    <xdr:col>17</xdr:col>
                    <xdr:colOff>622300</xdr:colOff>
                    <xdr:row>90</xdr:row>
                    <xdr:rowOff>0</xdr:rowOff>
                  </to>
                </anchor>
              </controlPr>
            </control>
          </mc:Choice>
        </mc:AlternateContent>
        <mc:AlternateContent xmlns:mc="http://schemas.openxmlformats.org/markup-compatibility/2006">
          <mc:Choice Requires="x14">
            <control shapeId="7305" r:id="rId77" name="Check Box 137">
              <controlPr defaultSize="0" autoFill="0" autoLine="0" autoPict="0">
                <anchor moveWithCells="1" sizeWithCells="1">
                  <from>
                    <xdr:col>17</xdr:col>
                    <xdr:colOff>38100</xdr:colOff>
                    <xdr:row>91</xdr:row>
                    <xdr:rowOff>0</xdr:rowOff>
                  </from>
                  <to>
                    <xdr:col>17</xdr:col>
                    <xdr:colOff>622300</xdr:colOff>
                    <xdr:row>92</xdr:row>
                    <xdr:rowOff>0</xdr:rowOff>
                  </to>
                </anchor>
              </controlPr>
            </control>
          </mc:Choice>
        </mc:AlternateContent>
        <mc:AlternateContent xmlns:mc="http://schemas.openxmlformats.org/markup-compatibility/2006">
          <mc:Choice Requires="x14">
            <control shapeId="7306" r:id="rId78" name="Check Box 138">
              <controlPr defaultSize="0" autoFill="0" autoLine="0" autoPict="0">
                <anchor moveWithCells="1" sizeWithCells="1">
                  <from>
                    <xdr:col>19</xdr:col>
                    <xdr:colOff>215900</xdr:colOff>
                    <xdr:row>21</xdr:row>
                    <xdr:rowOff>0</xdr:rowOff>
                  </from>
                  <to>
                    <xdr:col>19</xdr:col>
                    <xdr:colOff>431800</xdr:colOff>
                    <xdr:row>22</xdr:row>
                    <xdr:rowOff>0</xdr:rowOff>
                  </to>
                </anchor>
              </controlPr>
            </control>
          </mc:Choice>
        </mc:AlternateContent>
        <mc:AlternateContent xmlns:mc="http://schemas.openxmlformats.org/markup-compatibility/2006">
          <mc:Choice Requires="x14">
            <control shapeId="7307" r:id="rId79" name="Check Box 139">
              <controlPr defaultSize="0" autoFill="0" autoLine="0" autoPict="0">
                <anchor moveWithCells="1" sizeWithCells="1">
                  <from>
                    <xdr:col>19</xdr:col>
                    <xdr:colOff>215900</xdr:colOff>
                    <xdr:row>22</xdr:row>
                    <xdr:rowOff>0</xdr:rowOff>
                  </from>
                  <to>
                    <xdr:col>19</xdr:col>
                    <xdr:colOff>431800</xdr:colOff>
                    <xdr:row>23</xdr:row>
                    <xdr:rowOff>0</xdr:rowOff>
                  </to>
                </anchor>
              </controlPr>
            </control>
          </mc:Choice>
        </mc:AlternateContent>
        <mc:AlternateContent xmlns:mc="http://schemas.openxmlformats.org/markup-compatibility/2006">
          <mc:Choice Requires="x14">
            <control shapeId="7308" r:id="rId80" name="Check Box 140">
              <controlPr defaultSize="0" autoFill="0" autoLine="0" autoPict="0">
                <anchor moveWithCells="1" sizeWithCells="1">
                  <from>
                    <xdr:col>19</xdr:col>
                    <xdr:colOff>215900</xdr:colOff>
                    <xdr:row>23</xdr:row>
                    <xdr:rowOff>0</xdr:rowOff>
                  </from>
                  <to>
                    <xdr:col>19</xdr:col>
                    <xdr:colOff>431800</xdr:colOff>
                    <xdr:row>24</xdr:row>
                    <xdr:rowOff>0</xdr:rowOff>
                  </to>
                </anchor>
              </controlPr>
            </control>
          </mc:Choice>
        </mc:AlternateContent>
        <mc:AlternateContent xmlns:mc="http://schemas.openxmlformats.org/markup-compatibility/2006">
          <mc:Choice Requires="x14">
            <control shapeId="7309" r:id="rId81" name="Check Box 141">
              <controlPr defaultSize="0" autoFill="0" autoLine="0" autoPict="0">
                <anchor moveWithCells="1" sizeWithCells="1">
                  <from>
                    <xdr:col>19</xdr:col>
                    <xdr:colOff>215900</xdr:colOff>
                    <xdr:row>24</xdr:row>
                    <xdr:rowOff>0</xdr:rowOff>
                  </from>
                  <to>
                    <xdr:col>19</xdr:col>
                    <xdr:colOff>431800</xdr:colOff>
                    <xdr:row>25</xdr:row>
                    <xdr:rowOff>0</xdr:rowOff>
                  </to>
                </anchor>
              </controlPr>
            </control>
          </mc:Choice>
        </mc:AlternateContent>
        <mc:AlternateContent xmlns:mc="http://schemas.openxmlformats.org/markup-compatibility/2006">
          <mc:Choice Requires="x14">
            <control shapeId="7310" r:id="rId82" name="Check Box 142">
              <controlPr defaultSize="0" autoFill="0" autoLine="0" autoPict="0">
                <anchor moveWithCells="1" sizeWithCells="1">
                  <from>
                    <xdr:col>19</xdr:col>
                    <xdr:colOff>215900</xdr:colOff>
                    <xdr:row>25</xdr:row>
                    <xdr:rowOff>0</xdr:rowOff>
                  </from>
                  <to>
                    <xdr:col>19</xdr:col>
                    <xdr:colOff>431800</xdr:colOff>
                    <xdr:row>26</xdr:row>
                    <xdr:rowOff>0</xdr:rowOff>
                  </to>
                </anchor>
              </controlPr>
            </control>
          </mc:Choice>
        </mc:AlternateContent>
        <mc:AlternateContent xmlns:mc="http://schemas.openxmlformats.org/markup-compatibility/2006">
          <mc:Choice Requires="x14">
            <control shapeId="7311" r:id="rId83" name="Check Box 143">
              <controlPr defaultSize="0" autoFill="0" autoLine="0" autoPict="0">
                <anchor moveWithCells="1" sizeWithCells="1">
                  <from>
                    <xdr:col>19</xdr:col>
                    <xdr:colOff>215900</xdr:colOff>
                    <xdr:row>26</xdr:row>
                    <xdr:rowOff>0</xdr:rowOff>
                  </from>
                  <to>
                    <xdr:col>19</xdr:col>
                    <xdr:colOff>431800</xdr:colOff>
                    <xdr:row>27</xdr:row>
                    <xdr:rowOff>0</xdr:rowOff>
                  </to>
                </anchor>
              </controlPr>
            </control>
          </mc:Choice>
        </mc:AlternateContent>
        <mc:AlternateContent xmlns:mc="http://schemas.openxmlformats.org/markup-compatibility/2006">
          <mc:Choice Requires="x14">
            <control shapeId="7312" r:id="rId84" name="Check Box 144">
              <controlPr defaultSize="0" autoFill="0" autoLine="0" autoPict="0">
                <anchor moveWithCells="1" sizeWithCells="1">
                  <from>
                    <xdr:col>19</xdr:col>
                    <xdr:colOff>215900</xdr:colOff>
                    <xdr:row>27</xdr:row>
                    <xdr:rowOff>0</xdr:rowOff>
                  </from>
                  <to>
                    <xdr:col>19</xdr:col>
                    <xdr:colOff>431800</xdr:colOff>
                    <xdr:row>28</xdr:row>
                    <xdr:rowOff>0</xdr:rowOff>
                  </to>
                </anchor>
              </controlPr>
            </control>
          </mc:Choice>
        </mc:AlternateContent>
        <mc:AlternateContent xmlns:mc="http://schemas.openxmlformats.org/markup-compatibility/2006">
          <mc:Choice Requires="x14">
            <control shapeId="7313" r:id="rId85" name="Check Box 145">
              <controlPr defaultSize="0" autoFill="0" autoLine="0" autoPict="0">
                <anchor moveWithCells="1" sizeWithCells="1">
                  <from>
                    <xdr:col>19</xdr:col>
                    <xdr:colOff>215900</xdr:colOff>
                    <xdr:row>31</xdr:row>
                    <xdr:rowOff>0</xdr:rowOff>
                  </from>
                  <to>
                    <xdr:col>19</xdr:col>
                    <xdr:colOff>431800</xdr:colOff>
                    <xdr:row>32</xdr:row>
                    <xdr:rowOff>0</xdr:rowOff>
                  </to>
                </anchor>
              </controlPr>
            </control>
          </mc:Choice>
        </mc:AlternateContent>
        <mc:AlternateContent xmlns:mc="http://schemas.openxmlformats.org/markup-compatibility/2006">
          <mc:Choice Requires="x14">
            <control shapeId="7314" r:id="rId86" name="Check Box 146">
              <controlPr defaultSize="0" autoFill="0" autoLine="0" autoPict="0">
                <anchor moveWithCells="1" sizeWithCells="1">
                  <from>
                    <xdr:col>19</xdr:col>
                    <xdr:colOff>215900</xdr:colOff>
                    <xdr:row>32</xdr:row>
                    <xdr:rowOff>0</xdr:rowOff>
                  </from>
                  <to>
                    <xdr:col>19</xdr:col>
                    <xdr:colOff>431800</xdr:colOff>
                    <xdr:row>33</xdr:row>
                    <xdr:rowOff>0</xdr:rowOff>
                  </to>
                </anchor>
              </controlPr>
            </control>
          </mc:Choice>
        </mc:AlternateContent>
        <mc:AlternateContent xmlns:mc="http://schemas.openxmlformats.org/markup-compatibility/2006">
          <mc:Choice Requires="x14">
            <control shapeId="7315" r:id="rId87" name="Check Box 147">
              <controlPr defaultSize="0" autoFill="0" autoLine="0" autoPict="0">
                <anchor moveWithCells="1" sizeWithCells="1">
                  <from>
                    <xdr:col>19</xdr:col>
                    <xdr:colOff>215900</xdr:colOff>
                    <xdr:row>36</xdr:row>
                    <xdr:rowOff>0</xdr:rowOff>
                  </from>
                  <to>
                    <xdr:col>19</xdr:col>
                    <xdr:colOff>431800</xdr:colOff>
                    <xdr:row>37</xdr:row>
                    <xdr:rowOff>0</xdr:rowOff>
                  </to>
                </anchor>
              </controlPr>
            </control>
          </mc:Choice>
        </mc:AlternateContent>
        <mc:AlternateContent xmlns:mc="http://schemas.openxmlformats.org/markup-compatibility/2006">
          <mc:Choice Requires="x14">
            <control shapeId="7316" r:id="rId88" name="Check Box 148">
              <controlPr defaultSize="0" autoFill="0" autoLine="0" autoPict="0">
                <anchor moveWithCells="1" sizeWithCells="1">
                  <from>
                    <xdr:col>19</xdr:col>
                    <xdr:colOff>215900</xdr:colOff>
                    <xdr:row>37</xdr:row>
                    <xdr:rowOff>0</xdr:rowOff>
                  </from>
                  <to>
                    <xdr:col>19</xdr:col>
                    <xdr:colOff>431800</xdr:colOff>
                    <xdr:row>38</xdr:row>
                    <xdr:rowOff>0</xdr:rowOff>
                  </to>
                </anchor>
              </controlPr>
            </control>
          </mc:Choice>
        </mc:AlternateContent>
        <mc:AlternateContent xmlns:mc="http://schemas.openxmlformats.org/markup-compatibility/2006">
          <mc:Choice Requires="x14">
            <control shapeId="7317" r:id="rId89" name="Check Box 149">
              <controlPr defaultSize="0" autoFill="0" autoLine="0" autoPict="0">
                <anchor moveWithCells="1" sizeWithCells="1">
                  <from>
                    <xdr:col>19</xdr:col>
                    <xdr:colOff>215900</xdr:colOff>
                    <xdr:row>38</xdr:row>
                    <xdr:rowOff>0</xdr:rowOff>
                  </from>
                  <to>
                    <xdr:col>19</xdr:col>
                    <xdr:colOff>431800</xdr:colOff>
                    <xdr:row>39</xdr:row>
                    <xdr:rowOff>0</xdr:rowOff>
                  </to>
                </anchor>
              </controlPr>
            </control>
          </mc:Choice>
        </mc:AlternateContent>
        <mc:AlternateContent xmlns:mc="http://schemas.openxmlformats.org/markup-compatibility/2006">
          <mc:Choice Requires="x14">
            <control shapeId="7318" r:id="rId90" name="Check Box 150">
              <controlPr defaultSize="0" autoFill="0" autoLine="0" autoPict="0">
                <anchor moveWithCells="1" sizeWithCells="1">
                  <from>
                    <xdr:col>19</xdr:col>
                    <xdr:colOff>215900</xdr:colOff>
                    <xdr:row>39</xdr:row>
                    <xdr:rowOff>0</xdr:rowOff>
                  </from>
                  <to>
                    <xdr:col>19</xdr:col>
                    <xdr:colOff>431800</xdr:colOff>
                    <xdr:row>40</xdr:row>
                    <xdr:rowOff>0</xdr:rowOff>
                  </to>
                </anchor>
              </controlPr>
            </control>
          </mc:Choice>
        </mc:AlternateContent>
        <mc:AlternateContent xmlns:mc="http://schemas.openxmlformats.org/markup-compatibility/2006">
          <mc:Choice Requires="x14">
            <control shapeId="7319" r:id="rId91" name="Check Box 151">
              <controlPr defaultSize="0" autoFill="0" autoLine="0" autoPict="0">
                <anchor moveWithCells="1" sizeWithCells="1">
                  <from>
                    <xdr:col>19</xdr:col>
                    <xdr:colOff>215900</xdr:colOff>
                    <xdr:row>43</xdr:row>
                    <xdr:rowOff>0</xdr:rowOff>
                  </from>
                  <to>
                    <xdr:col>19</xdr:col>
                    <xdr:colOff>431800</xdr:colOff>
                    <xdr:row>44</xdr:row>
                    <xdr:rowOff>0</xdr:rowOff>
                  </to>
                </anchor>
              </controlPr>
            </control>
          </mc:Choice>
        </mc:AlternateContent>
        <mc:AlternateContent xmlns:mc="http://schemas.openxmlformats.org/markup-compatibility/2006">
          <mc:Choice Requires="x14">
            <control shapeId="7320" r:id="rId92" name="Check Box 152">
              <controlPr defaultSize="0" autoFill="0" autoLine="0" autoPict="0">
                <anchor moveWithCells="1" sizeWithCells="1">
                  <from>
                    <xdr:col>19</xdr:col>
                    <xdr:colOff>215900</xdr:colOff>
                    <xdr:row>44</xdr:row>
                    <xdr:rowOff>0</xdr:rowOff>
                  </from>
                  <to>
                    <xdr:col>19</xdr:col>
                    <xdr:colOff>431800</xdr:colOff>
                    <xdr:row>45</xdr:row>
                    <xdr:rowOff>0</xdr:rowOff>
                  </to>
                </anchor>
              </controlPr>
            </control>
          </mc:Choice>
        </mc:AlternateContent>
        <mc:AlternateContent xmlns:mc="http://schemas.openxmlformats.org/markup-compatibility/2006">
          <mc:Choice Requires="x14">
            <control shapeId="7321" r:id="rId93" name="Check Box 153">
              <controlPr defaultSize="0" autoFill="0" autoLine="0" autoPict="0">
                <anchor moveWithCells="1" sizeWithCells="1">
                  <from>
                    <xdr:col>19</xdr:col>
                    <xdr:colOff>215900</xdr:colOff>
                    <xdr:row>45</xdr:row>
                    <xdr:rowOff>0</xdr:rowOff>
                  </from>
                  <to>
                    <xdr:col>19</xdr:col>
                    <xdr:colOff>431800</xdr:colOff>
                    <xdr:row>46</xdr:row>
                    <xdr:rowOff>0</xdr:rowOff>
                  </to>
                </anchor>
              </controlPr>
            </control>
          </mc:Choice>
        </mc:AlternateContent>
        <mc:AlternateContent xmlns:mc="http://schemas.openxmlformats.org/markup-compatibility/2006">
          <mc:Choice Requires="x14">
            <control shapeId="7322" r:id="rId94" name="Check Box 154">
              <controlPr defaultSize="0" autoFill="0" autoLine="0" autoPict="0">
                <anchor moveWithCells="1" sizeWithCells="1">
                  <from>
                    <xdr:col>19</xdr:col>
                    <xdr:colOff>215900</xdr:colOff>
                    <xdr:row>46</xdr:row>
                    <xdr:rowOff>0</xdr:rowOff>
                  </from>
                  <to>
                    <xdr:col>19</xdr:col>
                    <xdr:colOff>431800</xdr:colOff>
                    <xdr:row>47</xdr:row>
                    <xdr:rowOff>0</xdr:rowOff>
                  </to>
                </anchor>
              </controlPr>
            </control>
          </mc:Choice>
        </mc:AlternateContent>
        <mc:AlternateContent xmlns:mc="http://schemas.openxmlformats.org/markup-compatibility/2006">
          <mc:Choice Requires="x14">
            <control shapeId="7323" r:id="rId95" name="Check Box 155">
              <controlPr defaultSize="0" autoFill="0" autoLine="0" autoPict="0">
                <anchor moveWithCells="1" sizeWithCells="1">
                  <from>
                    <xdr:col>19</xdr:col>
                    <xdr:colOff>215900</xdr:colOff>
                    <xdr:row>50</xdr:row>
                    <xdr:rowOff>0</xdr:rowOff>
                  </from>
                  <to>
                    <xdr:col>19</xdr:col>
                    <xdr:colOff>431800</xdr:colOff>
                    <xdr:row>51</xdr:row>
                    <xdr:rowOff>0</xdr:rowOff>
                  </to>
                </anchor>
              </controlPr>
            </control>
          </mc:Choice>
        </mc:AlternateContent>
        <mc:AlternateContent xmlns:mc="http://schemas.openxmlformats.org/markup-compatibility/2006">
          <mc:Choice Requires="x14">
            <control shapeId="7324" r:id="rId96" name="Check Box 156">
              <controlPr defaultSize="0" autoFill="0" autoLine="0" autoPict="0">
                <anchor moveWithCells="1" sizeWithCells="1">
                  <from>
                    <xdr:col>19</xdr:col>
                    <xdr:colOff>215900</xdr:colOff>
                    <xdr:row>51</xdr:row>
                    <xdr:rowOff>0</xdr:rowOff>
                  </from>
                  <to>
                    <xdr:col>19</xdr:col>
                    <xdr:colOff>431800</xdr:colOff>
                    <xdr:row>52</xdr:row>
                    <xdr:rowOff>0</xdr:rowOff>
                  </to>
                </anchor>
              </controlPr>
            </control>
          </mc:Choice>
        </mc:AlternateContent>
        <mc:AlternateContent xmlns:mc="http://schemas.openxmlformats.org/markup-compatibility/2006">
          <mc:Choice Requires="x14">
            <control shapeId="7325" r:id="rId97" name="Check Box 157">
              <controlPr defaultSize="0" autoFill="0" autoLine="0" autoPict="0">
                <anchor moveWithCells="1" sizeWithCells="1">
                  <from>
                    <xdr:col>19</xdr:col>
                    <xdr:colOff>215900</xdr:colOff>
                    <xdr:row>55</xdr:row>
                    <xdr:rowOff>0</xdr:rowOff>
                  </from>
                  <to>
                    <xdr:col>19</xdr:col>
                    <xdr:colOff>431800</xdr:colOff>
                    <xdr:row>56</xdr:row>
                    <xdr:rowOff>0</xdr:rowOff>
                  </to>
                </anchor>
              </controlPr>
            </control>
          </mc:Choice>
        </mc:AlternateContent>
        <mc:AlternateContent xmlns:mc="http://schemas.openxmlformats.org/markup-compatibility/2006">
          <mc:Choice Requires="x14">
            <control shapeId="7326" r:id="rId98" name="Check Box 158">
              <controlPr defaultSize="0" autoFill="0" autoLine="0" autoPict="0">
                <anchor moveWithCells="1" sizeWithCells="1">
                  <from>
                    <xdr:col>19</xdr:col>
                    <xdr:colOff>215900</xdr:colOff>
                    <xdr:row>56</xdr:row>
                    <xdr:rowOff>0</xdr:rowOff>
                  </from>
                  <to>
                    <xdr:col>19</xdr:col>
                    <xdr:colOff>431800</xdr:colOff>
                    <xdr:row>57</xdr:row>
                    <xdr:rowOff>0</xdr:rowOff>
                  </to>
                </anchor>
              </controlPr>
            </control>
          </mc:Choice>
        </mc:AlternateContent>
        <mc:AlternateContent xmlns:mc="http://schemas.openxmlformats.org/markup-compatibility/2006">
          <mc:Choice Requires="x14">
            <control shapeId="7327" r:id="rId99" name="Check Box 159">
              <controlPr defaultSize="0" autoFill="0" autoLine="0" autoPict="0">
                <anchor moveWithCells="1" sizeWithCells="1">
                  <from>
                    <xdr:col>19</xdr:col>
                    <xdr:colOff>215900</xdr:colOff>
                    <xdr:row>57</xdr:row>
                    <xdr:rowOff>0</xdr:rowOff>
                  </from>
                  <to>
                    <xdr:col>19</xdr:col>
                    <xdr:colOff>431800</xdr:colOff>
                    <xdr:row>58</xdr:row>
                    <xdr:rowOff>0</xdr:rowOff>
                  </to>
                </anchor>
              </controlPr>
            </control>
          </mc:Choice>
        </mc:AlternateContent>
        <mc:AlternateContent xmlns:mc="http://schemas.openxmlformats.org/markup-compatibility/2006">
          <mc:Choice Requires="x14">
            <control shapeId="7328" r:id="rId100" name="Check Box 160">
              <controlPr defaultSize="0" autoFill="0" autoLine="0" autoPict="0">
                <anchor moveWithCells="1" sizeWithCells="1">
                  <from>
                    <xdr:col>19</xdr:col>
                    <xdr:colOff>215900</xdr:colOff>
                    <xdr:row>58</xdr:row>
                    <xdr:rowOff>0</xdr:rowOff>
                  </from>
                  <to>
                    <xdr:col>19</xdr:col>
                    <xdr:colOff>431800</xdr:colOff>
                    <xdr:row>59</xdr:row>
                    <xdr:rowOff>0</xdr:rowOff>
                  </to>
                </anchor>
              </controlPr>
            </control>
          </mc:Choice>
        </mc:AlternateContent>
        <mc:AlternateContent xmlns:mc="http://schemas.openxmlformats.org/markup-compatibility/2006">
          <mc:Choice Requires="x14">
            <control shapeId="7329" r:id="rId101" name="Check Box 161">
              <controlPr defaultSize="0" autoFill="0" autoLine="0" autoPict="0">
                <anchor moveWithCells="1" sizeWithCells="1">
                  <from>
                    <xdr:col>19</xdr:col>
                    <xdr:colOff>215900</xdr:colOff>
                    <xdr:row>59</xdr:row>
                    <xdr:rowOff>0</xdr:rowOff>
                  </from>
                  <to>
                    <xdr:col>19</xdr:col>
                    <xdr:colOff>431800</xdr:colOff>
                    <xdr:row>60</xdr:row>
                    <xdr:rowOff>0</xdr:rowOff>
                  </to>
                </anchor>
              </controlPr>
            </control>
          </mc:Choice>
        </mc:AlternateContent>
        <mc:AlternateContent xmlns:mc="http://schemas.openxmlformats.org/markup-compatibility/2006">
          <mc:Choice Requires="x14">
            <control shapeId="7330" r:id="rId102" name="Check Box 162">
              <controlPr defaultSize="0" autoFill="0" autoLine="0" autoPict="0">
                <anchor moveWithCells="1" sizeWithCells="1">
                  <from>
                    <xdr:col>19</xdr:col>
                    <xdr:colOff>215900</xdr:colOff>
                    <xdr:row>60</xdr:row>
                    <xdr:rowOff>0</xdr:rowOff>
                  </from>
                  <to>
                    <xdr:col>19</xdr:col>
                    <xdr:colOff>431800</xdr:colOff>
                    <xdr:row>61</xdr:row>
                    <xdr:rowOff>0</xdr:rowOff>
                  </to>
                </anchor>
              </controlPr>
            </control>
          </mc:Choice>
        </mc:AlternateContent>
        <mc:AlternateContent xmlns:mc="http://schemas.openxmlformats.org/markup-compatibility/2006">
          <mc:Choice Requires="x14">
            <control shapeId="7331" r:id="rId103" name="Check Box 163">
              <controlPr defaultSize="0" autoFill="0" autoLine="0" autoPict="0">
                <anchor moveWithCells="1" sizeWithCells="1">
                  <from>
                    <xdr:col>19</xdr:col>
                    <xdr:colOff>215900</xdr:colOff>
                    <xdr:row>61</xdr:row>
                    <xdr:rowOff>0</xdr:rowOff>
                  </from>
                  <to>
                    <xdr:col>19</xdr:col>
                    <xdr:colOff>431800</xdr:colOff>
                    <xdr:row>62</xdr:row>
                    <xdr:rowOff>0</xdr:rowOff>
                  </to>
                </anchor>
              </controlPr>
            </control>
          </mc:Choice>
        </mc:AlternateContent>
        <mc:AlternateContent xmlns:mc="http://schemas.openxmlformats.org/markup-compatibility/2006">
          <mc:Choice Requires="x14">
            <control shapeId="7333" r:id="rId104" name="Check Box 165">
              <controlPr defaultSize="0" autoFill="0" autoLine="0" autoPict="0">
                <anchor moveWithCells="1" sizeWithCells="1">
                  <from>
                    <xdr:col>19</xdr:col>
                    <xdr:colOff>215900</xdr:colOff>
                    <xdr:row>62</xdr:row>
                    <xdr:rowOff>0</xdr:rowOff>
                  </from>
                  <to>
                    <xdr:col>19</xdr:col>
                    <xdr:colOff>431800</xdr:colOff>
                    <xdr:row>63</xdr:row>
                    <xdr:rowOff>0</xdr:rowOff>
                  </to>
                </anchor>
              </controlPr>
            </control>
          </mc:Choice>
        </mc:AlternateContent>
        <mc:AlternateContent xmlns:mc="http://schemas.openxmlformats.org/markup-compatibility/2006">
          <mc:Choice Requires="x14">
            <control shapeId="7334" r:id="rId105" name="Check Box 166">
              <controlPr defaultSize="0" autoFill="0" autoLine="0" autoPict="0">
                <anchor moveWithCells="1" sizeWithCells="1">
                  <from>
                    <xdr:col>19</xdr:col>
                    <xdr:colOff>215900</xdr:colOff>
                    <xdr:row>66</xdr:row>
                    <xdr:rowOff>0</xdr:rowOff>
                  </from>
                  <to>
                    <xdr:col>19</xdr:col>
                    <xdr:colOff>431800</xdr:colOff>
                    <xdr:row>67</xdr:row>
                    <xdr:rowOff>0</xdr:rowOff>
                  </to>
                </anchor>
              </controlPr>
            </control>
          </mc:Choice>
        </mc:AlternateContent>
        <mc:AlternateContent xmlns:mc="http://schemas.openxmlformats.org/markup-compatibility/2006">
          <mc:Choice Requires="x14">
            <control shapeId="7335" r:id="rId106" name="Check Box 167">
              <controlPr defaultSize="0" autoFill="0" autoLine="0" autoPict="0">
                <anchor moveWithCells="1" sizeWithCells="1">
                  <from>
                    <xdr:col>19</xdr:col>
                    <xdr:colOff>215900</xdr:colOff>
                    <xdr:row>66</xdr:row>
                    <xdr:rowOff>254000</xdr:rowOff>
                  </from>
                  <to>
                    <xdr:col>19</xdr:col>
                    <xdr:colOff>431800</xdr:colOff>
                    <xdr:row>69</xdr:row>
                    <xdr:rowOff>0</xdr:rowOff>
                  </to>
                </anchor>
              </controlPr>
            </control>
          </mc:Choice>
        </mc:AlternateContent>
        <mc:AlternateContent xmlns:mc="http://schemas.openxmlformats.org/markup-compatibility/2006">
          <mc:Choice Requires="x14">
            <control shapeId="7336" r:id="rId107" name="Check Box 168">
              <controlPr defaultSize="0" autoFill="0" autoLine="0" autoPict="0">
                <anchor moveWithCells="1" sizeWithCells="1">
                  <from>
                    <xdr:col>19</xdr:col>
                    <xdr:colOff>215900</xdr:colOff>
                    <xdr:row>70</xdr:row>
                    <xdr:rowOff>0</xdr:rowOff>
                  </from>
                  <to>
                    <xdr:col>19</xdr:col>
                    <xdr:colOff>431800</xdr:colOff>
                    <xdr:row>71</xdr:row>
                    <xdr:rowOff>0</xdr:rowOff>
                  </to>
                </anchor>
              </controlPr>
            </control>
          </mc:Choice>
        </mc:AlternateContent>
        <mc:AlternateContent xmlns:mc="http://schemas.openxmlformats.org/markup-compatibility/2006">
          <mc:Choice Requires="x14">
            <control shapeId="7337" r:id="rId108" name="Check Box 169">
              <controlPr defaultSize="0" autoFill="0" autoLine="0" autoPict="0">
                <anchor moveWithCells="1" sizeWithCells="1">
                  <from>
                    <xdr:col>19</xdr:col>
                    <xdr:colOff>215900</xdr:colOff>
                    <xdr:row>70</xdr:row>
                    <xdr:rowOff>254000</xdr:rowOff>
                  </from>
                  <to>
                    <xdr:col>19</xdr:col>
                    <xdr:colOff>431800</xdr:colOff>
                    <xdr:row>76</xdr:row>
                    <xdr:rowOff>12700</xdr:rowOff>
                  </to>
                </anchor>
              </controlPr>
            </control>
          </mc:Choice>
        </mc:AlternateContent>
        <mc:AlternateContent xmlns:mc="http://schemas.openxmlformats.org/markup-compatibility/2006">
          <mc:Choice Requires="x14">
            <control shapeId="7338" r:id="rId109" name="Check Box 170">
              <controlPr defaultSize="0" autoFill="0" autoLine="0" autoPict="0">
                <anchor moveWithCells="1" sizeWithCells="1">
                  <from>
                    <xdr:col>19</xdr:col>
                    <xdr:colOff>215900</xdr:colOff>
                    <xdr:row>76</xdr:row>
                    <xdr:rowOff>0</xdr:rowOff>
                  </from>
                  <to>
                    <xdr:col>19</xdr:col>
                    <xdr:colOff>431800</xdr:colOff>
                    <xdr:row>77</xdr:row>
                    <xdr:rowOff>0</xdr:rowOff>
                  </to>
                </anchor>
              </controlPr>
            </control>
          </mc:Choice>
        </mc:AlternateContent>
        <mc:AlternateContent xmlns:mc="http://schemas.openxmlformats.org/markup-compatibility/2006">
          <mc:Choice Requires="x14">
            <control shapeId="7339" r:id="rId110" name="Check Box 171">
              <controlPr defaultSize="0" autoFill="0" autoLine="0" autoPict="0">
                <anchor moveWithCells="1" sizeWithCells="1">
                  <from>
                    <xdr:col>19</xdr:col>
                    <xdr:colOff>215900</xdr:colOff>
                    <xdr:row>78</xdr:row>
                    <xdr:rowOff>0</xdr:rowOff>
                  </from>
                  <to>
                    <xdr:col>19</xdr:col>
                    <xdr:colOff>431800</xdr:colOff>
                    <xdr:row>79</xdr:row>
                    <xdr:rowOff>0</xdr:rowOff>
                  </to>
                </anchor>
              </controlPr>
            </control>
          </mc:Choice>
        </mc:AlternateContent>
        <mc:AlternateContent xmlns:mc="http://schemas.openxmlformats.org/markup-compatibility/2006">
          <mc:Choice Requires="x14">
            <control shapeId="7340" r:id="rId111" name="Check Box 172">
              <controlPr defaultSize="0" autoFill="0" autoLine="0" autoPict="0">
                <anchor moveWithCells="1" sizeWithCells="1">
                  <from>
                    <xdr:col>19</xdr:col>
                    <xdr:colOff>215900</xdr:colOff>
                    <xdr:row>78</xdr:row>
                    <xdr:rowOff>254000</xdr:rowOff>
                  </from>
                  <to>
                    <xdr:col>19</xdr:col>
                    <xdr:colOff>431800</xdr:colOff>
                    <xdr:row>82</xdr:row>
                    <xdr:rowOff>12700</xdr:rowOff>
                  </to>
                </anchor>
              </controlPr>
            </control>
          </mc:Choice>
        </mc:AlternateContent>
        <mc:AlternateContent xmlns:mc="http://schemas.openxmlformats.org/markup-compatibility/2006">
          <mc:Choice Requires="x14">
            <control shapeId="7341" r:id="rId112" name="Check Box 173">
              <controlPr defaultSize="0" autoFill="0" autoLine="0" autoPict="0">
                <anchor moveWithCells="1" sizeWithCells="1">
                  <from>
                    <xdr:col>19</xdr:col>
                    <xdr:colOff>215900</xdr:colOff>
                    <xdr:row>82</xdr:row>
                    <xdr:rowOff>0</xdr:rowOff>
                  </from>
                  <to>
                    <xdr:col>19</xdr:col>
                    <xdr:colOff>431800</xdr:colOff>
                    <xdr:row>84</xdr:row>
                    <xdr:rowOff>0</xdr:rowOff>
                  </to>
                </anchor>
              </controlPr>
            </control>
          </mc:Choice>
        </mc:AlternateContent>
        <mc:AlternateContent xmlns:mc="http://schemas.openxmlformats.org/markup-compatibility/2006">
          <mc:Choice Requires="x14">
            <control shapeId="7342" r:id="rId113" name="Check Box 174">
              <controlPr defaultSize="0" autoFill="0" autoLine="0" autoPict="0">
                <anchor moveWithCells="1" sizeWithCells="1">
                  <from>
                    <xdr:col>19</xdr:col>
                    <xdr:colOff>215900</xdr:colOff>
                    <xdr:row>83</xdr:row>
                    <xdr:rowOff>254000</xdr:rowOff>
                  </from>
                  <to>
                    <xdr:col>19</xdr:col>
                    <xdr:colOff>431800</xdr:colOff>
                    <xdr:row>86</xdr:row>
                    <xdr:rowOff>0</xdr:rowOff>
                  </to>
                </anchor>
              </controlPr>
            </control>
          </mc:Choice>
        </mc:AlternateContent>
        <mc:AlternateContent xmlns:mc="http://schemas.openxmlformats.org/markup-compatibility/2006">
          <mc:Choice Requires="x14">
            <control shapeId="7343" r:id="rId114" name="Check Box 175">
              <controlPr defaultSize="0" autoFill="0" autoLine="0" autoPict="0">
                <anchor moveWithCells="1" sizeWithCells="1">
                  <from>
                    <xdr:col>19</xdr:col>
                    <xdr:colOff>215900</xdr:colOff>
                    <xdr:row>86</xdr:row>
                    <xdr:rowOff>0</xdr:rowOff>
                  </from>
                  <to>
                    <xdr:col>19</xdr:col>
                    <xdr:colOff>431800</xdr:colOff>
                    <xdr:row>87</xdr:row>
                    <xdr:rowOff>0</xdr:rowOff>
                  </to>
                </anchor>
              </controlPr>
            </control>
          </mc:Choice>
        </mc:AlternateContent>
        <mc:AlternateContent xmlns:mc="http://schemas.openxmlformats.org/markup-compatibility/2006">
          <mc:Choice Requires="x14">
            <control shapeId="7344" r:id="rId115" name="Check Box 176">
              <controlPr defaultSize="0" autoFill="0" autoLine="0" autoPict="0">
                <anchor moveWithCells="1" sizeWithCells="1">
                  <from>
                    <xdr:col>19</xdr:col>
                    <xdr:colOff>215900</xdr:colOff>
                    <xdr:row>87</xdr:row>
                    <xdr:rowOff>0</xdr:rowOff>
                  </from>
                  <to>
                    <xdr:col>19</xdr:col>
                    <xdr:colOff>431800</xdr:colOff>
                    <xdr:row>88</xdr:row>
                    <xdr:rowOff>0</xdr:rowOff>
                  </to>
                </anchor>
              </controlPr>
            </control>
          </mc:Choice>
        </mc:AlternateContent>
        <mc:AlternateContent xmlns:mc="http://schemas.openxmlformats.org/markup-compatibility/2006">
          <mc:Choice Requires="x14">
            <control shapeId="7345" r:id="rId116" name="Check Box 177">
              <controlPr defaultSize="0" autoFill="0" autoLine="0" autoPict="0">
                <anchor moveWithCells="1" sizeWithCells="1">
                  <from>
                    <xdr:col>19</xdr:col>
                    <xdr:colOff>215900</xdr:colOff>
                    <xdr:row>88</xdr:row>
                    <xdr:rowOff>0</xdr:rowOff>
                  </from>
                  <to>
                    <xdr:col>19</xdr:col>
                    <xdr:colOff>431800</xdr:colOff>
                    <xdr:row>89</xdr:row>
                    <xdr:rowOff>0</xdr:rowOff>
                  </to>
                </anchor>
              </controlPr>
            </control>
          </mc:Choice>
        </mc:AlternateContent>
        <mc:AlternateContent xmlns:mc="http://schemas.openxmlformats.org/markup-compatibility/2006">
          <mc:Choice Requires="x14">
            <control shapeId="7346" r:id="rId117" name="Check Box 178">
              <controlPr defaultSize="0" autoFill="0" autoLine="0" autoPict="0">
                <anchor moveWithCells="1" sizeWithCells="1">
                  <from>
                    <xdr:col>19</xdr:col>
                    <xdr:colOff>215900</xdr:colOff>
                    <xdr:row>89</xdr:row>
                    <xdr:rowOff>0</xdr:rowOff>
                  </from>
                  <to>
                    <xdr:col>19</xdr:col>
                    <xdr:colOff>431800</xdr:colOff>
                    <xdr:row>91</xdr:row>
                    <xdr:rowOff>0</xdr:rowOff>
                  </to>
                </anchor>
              </controlPr>
            </control>
          </mc:Choice>
        </mc:AlternateContent>
        <mc:AlternateContent xmlns:mc="http://schemas.openxmlformats.org/markup-compatibility/2006">
          <mc:Choice Requires="x14">
            <control shapeId="7347" r:id="rId118" name="Check Box 179">
              <controlPr defaultSize="0" autoFill="0" autoLine="0" autoPict="0">
                <anchor moveWithCells="1" sizeWithCells="1">
                  <from>
                    <xdr:col>19</xdr:col>
                    <xdr:colOff>215900</xdr:colOff>
                    <xdr:row>91</xdr:row>
                    <xdr:rowOff>0</xdr:rowOff>
                  </from>
                  <to>
                    <xdr:col>19</xdr:col>
                    <xdr:colOff>431800</xdr:colOff>
                    <xdr:row>92</xdr:row>
                    <xdr:rowOff>0</xdr:rowOff>
                  </to>
                </anchor>
              </controlPr>
            </control>
          </mc:Choice>
        </mc:AlternateContent>
        <mc:AlternateContent xmlns:mc="http://schemas.openxmlformats.org/markup-compatibility/2006">
          <mc:Choice Requires="x14">
            <control shapeId="7348" r:id="rId119" name="Check Box 180">
              <controlPr defaultSize="0" autoFill="0" autoLine="0" autoPict="0">
                <anchor moveWithCells="1" sizeWithCells="1">
                  <from>
                    <xdr:col>14</xdr:col>
                    <xdr:colOff>38100</xdr:colOff>
                    <xdr:row>66</xdr:row>
                    <xdr:rowOff>0</xdr:rowOff>
                  </from>
                  <to>
                    <xdr:col>14</xdr:col>
                    <xdr:colOff>622300</xdr:colOff>
                    <xdr:row>67</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3" id="{E7EECFC9-AD29-4308-81A6-50F92046D9A6}">
            <xm:f>intern!$I250=TRUE</xm:f>
            <x14:dxf>
              <fill>
                <patternFill>
                  <bgColor theme="7"/>
                </patternFill>
              </fill>
            </x14:dxf>
          </x14:cfRule>
          <xm:sqref>T22:T28 T32:T33 T37:T40 T44:T47 T51:T52 T56:T63 T67:T69 T71:T92</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CC52C-B8A7-4722-A0F3-5444D20165F2}">
  <sheetPr codeName="Sheet10">
    <tabColor theme="6" tint="0.59999389629810485"/>
    <pageSetUpPr autoPageBreaks="0" fitToPage="1"/>
  </sheetPr>
  <dimension ref="A1:AA93"/>
  <sheetViews>
    <sheetView showGridLines="0" showRowColHeaders="0" zoomScaleNormal="100" workbookViewId="0">
      <pane ySplit="3" topLeftCell="A4" activePane="bottomLeft" state="frozen"/>
      <selection activeCell="A4" sqref="A4"/>
      <selection pane="bottomLeft" activeCell="A4" sqref="A4"/>
    </sheetView>
  </sheetViews>
  <sheetFormatPr baseColWidth="10" defaultColWidth="18.6640625" defaultRowHeight="18" customHeight="1"/>
  <cols>
    <col min="1" max="1" width="1.6640625" style="203" customWidth="1"/>
    <col min="2" max="2" width="3.6640625" style="203" customWidth="1"/>
    <col min="3" max="20" width="9.6640625" style="203" customWidth="1"/>
    <col min="21" max="21" width="3.6640625" style="203" customWidth="1"/>
    <col min="22" max="22" width="1.6640625" style="203" customWidth="1"/>
    <col min="23" max="23" width="0.83203125" style="203" customWidth="1"/>
    <col min="24" max="24" width="7.1640625" style="203" customWidth="1"/>
    <col min="25" max="16384" width="18.6640625" style="203"/>
  </cols>
  <sheetData>
    <row r="1" spans="1:27" ht="37.5" customHeight="1">
      <c r="A1" s="1036" t="s">
        <v>178</v>
      </c>
      <c r="B1" s="1036"/>
      <c r="C1" s="506" t="str">
        <f>TBS_FH</f>
        <v/>
      </c>
      <c r="D1" s="504"/>
      <c r="E1" s="504"/>
      <c r="F1" s="504"/>
      <c r="G1" s="504"/>
      <c r="H1" s="504"/>
      <c r="I1" s="504"/>
      <c r="J1" s="504"/>
      <c r="K1" s="504"/>
      <c r="L1" s="504"/>
      <c r="M1" s="504"/>
      <c r="N1" s="504"/>
      <c r="O1" s="504"/>
      <c r="P1" s="504"/>
      <c r="Q1" s="504"/>
      <c r="R1" s="1037" t="str">
        <f>"Ermittelter Baubedarf:"&amp;CHAR(10)&amp;VA_BBGESAMT</f>
        <v>Ermittelter Baubedarf:
es fehlen noch Daten</v>
      </c>
      <c r="S1" s="1038"/>
      <c r="T1" s="1038"/>
      <c r="U1" s="507"/>
      <c r="Y1" s="1034" t="s">
        <v>779</v>
      </c>
      <c r="Z1" s="1034"/>
      <c r="AA1" s="1034"/>
    </row>
    <row r="2" spans="1:27" ht="4" customHeight="1">
      <c r="A2" s="204"/>
      <c r="B2" s="205"/>
      <c r="C2" s="205"/>
      <c r="D2" s="204"/>
      <c r="E2" s="204"/>
      <c r="F2" s="204"/>
      <c r="G2" s="204"/>
      <c r="H2" s="204"/>
      <c r="I2" s="204"/>
      <c r="J2" s="204"/>
      <c r="K2" s="204"/>
      <c r="L2" s="204"/>
      <c r="M2" s="204"/>
      <c r="N2" s="204"/>
      <c r="O2" s="204"/>
      <c r="P2" s="204"/>
      <c r="Q2" s="204"/>
      <c r="R2" s="204"/>
      <c r="S2" s="204"/>
      <c r="T2" s="204"/>
      <c r="U2" s="204"/>
      <c r="V2" s="204"/>
      <c r="W2" s="204"/>
    </row>
    <row r="3" spans="1:27" ht="4" customHeight="1">
      <c r="B3" s="206"/>
      <c r="C3" s="206"/>
      <c r="W3" s="204"/>
    </row>
    <row r="4" spans="1:27" ht="14" customHeight="1" thickBot="1">
      <c r="W4" s="204"/>
    </row>
    <row r="5" spans="1:27" ht="14" customHeight="1">
      <c r="B5" s="242"/>
      <c r="C5" s="243"/>
      <c r="D5" s="243"/>
      <c r="E5" s="243"/>
      <c r="F5" s="243"/>
      <c r="G5" s="243"/>
      <c r="H5" s="243"/>
      <c r="I5" s="243"/>
      <c r="J5" s="243"/>
      <c r="K5" s="243"/>
      <c r="L5" s="243"/>
      <c r="M5" s="243"/>
      <c r="N5" s="243"/>
      <c r="O5" s="243"/>
      <c r="P5" s="243"/>
      <c r="Q5" s="243"/>
      <c r="R5" s="243"/>
      <c r="S5" s="243"/>
      <c r="T5" s="243"/>
      <c r="U5" s="244"/>
      <c r="W5" s="204"/>
    </row>
    <row r="6" spans="1:27" ht="18" customHeight="1">
      <c r="B6" s="245"/>
      <c r="C6" s="202" t="s">
        <v>911</v>
      </c>
      <c r="D6" s="202"/>
      <c r="E6" s="202"/>
      <c r="F6" s="202"/>
      <c r="G6" s="202"/>
      <c r="H6" s="202"/>
      <c r="I6" s="202"/>
      <c r="J6" s="202"/>
      <c r="K6" s="202"/>
      <c r="L6" s="202"/>
      <c r="M6" s="202"/>
      <c r="N6" s="202"/>
      <c r="O6" s="202"/>
      <c r="P6" s="202"/>
      <c r="Q6" s="202"/>
      <c r="R6" s="202"/>
      <c r="S6" s="202"/>
      <c r="T6" s="202"/>
      <c r="U6" s="246"/>
      <c r="W6" s="204"/>
    </row>
    <row r="7" spans="1:27" ht="18" customHeight="1">
      <c r="B7" s="245"/>
      <c r="C7" s="202" t="s">
        <v>912</v>
      </c>
      <c r="D7" s="202"/>
      <c r="E7" s="202"/>
      <c r="F7" s="202"/>
      <c r="G7" s="202"/>
      <c r="H7" s="202"/>
      <c r="I7" s="202"/>
      <c r="J7" s="202"/>
      <c r="K7" s="202"/>
      <c r="L7" s="202"/>
      <c r="M7" s="202"/>
      <c r="N7" s="202"/>
      <c r="O7" s="202"/>
      <c r="P7" s="202"/>
      <c r="Q7" s="202"/>
      <c r="R7" s="202"/>
      <c r="S7" s="202"/>
      <c r="T7" s="202"/>
      <c r="U7" s="246"/>
      <c r="W7" s="204"/>
    </row>
    <row r="8" spans="1:27" ht="18" customHeight="1">
      <c r="B8" s="245"/>
      <c r="C8" s="202" t="s">
        <v>913</v>
      </c>
      <c r="D8" s="202"/>
      <c r="E8" s="202"/>
      <c r="F8" s="202"/>
      <c r="G8" s="202"/>
      <c r="H8" s="202"/>
      <c r="I8" s="202"/>
      <c r="J8" s="202"/>
      <c r="K8" s="202"/>
      <c r="L8" s="202"/>
      <c r="M8" s="202"/>
      <c r="N8" s="202"/>
      <c r="O8" s="202"/>
      <c r="P8" s="202"/>
      <c r="Q8" s="202"/>
      <c r="R8" s="202"/>
      <c r="S8" s="202"/>
      <c r="T8" s="202"/>
      <c r="U8" s="246"/>
      <c r="W8" s="204"/>
    </row>
    <row r="9" spans="1:27" ht="6" customHeight="1">
      <c r="B9" s="245"/>
      <c r="C9" s="202"/>
      <c r="D9" s="202"/>
      <c r="E9" s="202"/>
      <c r="F9" s="202"/>
      <c r="G9" s="202"/>
      <c r="H9" s="202"/>
      <c r="I9" s="202"/>
      <c r="J9" s="202"/>
      <c r="K9" s="202"/>
      <c r="L9" s="202"/>
      <c r="M9" s="202"/>
      <c r="N9" s="202"/>
      <c r="O9" s="202"/>
      <c r="P9" s="202"/>
      <c r="Q9" s="202"/>
      <c r="R9" s="202"/>
      <c r="S9" s="202"/>
      <c r="T9" s="202"/>
      <c r="U9" s="246"/>
      <c r="W9" s="204"/>
    </row>
    <row r="10" spans="1:27" ht="18" customHeight="1">
      <c r="B10" s="245"/>
      <c r="C10" s="202" t="s">
        <v>1018</v>
      </c>
      <c r="D10" s="202"/>
      <c r="E10" s="202"/>
      <c r="F10" s="202"/>
      <c r="G10" s="202"/>
      <c r="H10" s="202"/>
      <c r="I10" s="202"/>
      <c r="J10" s="202"/>
      <c r="K10" s="202"/>
      <c r="L10" s="202"/>
      <c r="M10" s="202"/>
      <c r="N10" s="202"/>
      <c r="O10" s="202"/>
      <c r="P10" s="202"/>
      <c r="Q10" s="202"/>
      <c r="R10" s="202"/>
      <c r="S10" s="202"/>
      <c r="T10" s="202"/>
      <c r="U10" s="246"/>
      <c r="W10" s="204"/>
    </row>
    <row r="11" spans="1:27" ht="18" customHeight="1">
      <c r="B11" s="245"/>
      <c r="C11" s="202" t="s">
        <v>1019</v>
      </c>
      <c r="D11" s="202"/>
      <c r="E11" s="202"/>
      <c r="F11" s="202"/>
      <c r="G11" s="202"/>
      <c r="H11" s="202"/>
      <c r="I11" s="202"/>
      <c r="J11" s="202"/>
      <c r="K11" s="202"/>
      <c r="L11" s="202"/>
      <c r="M11" s="202"/>
      <c r="N11" s="202"/>
      <c r="O11" s="202"/>
      <c r="P11" s="202"/>
      <c r="Q11" s="202"/>
      <c r="R11" s="202"/>
      <c r="S11" s="202"/>
      <c r="T11" s="202"/>
      <c r="U11" s="246"/>
      <c r="W11" s="204"/>
    </row>
    <row r="12" spans="1:27" ht="18" customHeight="1">
      <c r="B12" s="245"/>
      <c r="C12" s="212" t="s">
        <v>1020</v>
      </c>
      <c r="D12" s="202"/>
      <c r="E12" s="202"/>
      <c r="F12" s="202"/>
      <c r="G12" s="202"/>
      <c r="H12" s="202"/>
      <c r="I12" s="202"/>
      <c r="J12" s="202"/>
      <c r="K12" s="202"/>
      <c r="L12" s="202"/>
      <c r="M12" s="202"/>
      <c r="N12" s="202"/>
      <c r="O12" s="202"/>
      <c r="P12" s="202"/>
      <c r="Q12" s="202"/>
      <c r="R12" s="202"/>
      <c r="S12" s="202"/>
      <c r="T12" s="202"/>
      <c r="U12" s="246"/>
      <c r="W12" s="204"/>
    </row>
    <row r="13" spans="1:27" ht="6" customHeight="1">
      <c r="B13" s="245"/>
      <c r="C13" s="202"/>
      <c r="D13" s="202"/>
      <c r="E13" s="202"/>
      <c r="F13" s="202"/>
      <c r="G13" s="202"/>
      <c r="H13" s="202"/>
      <c r="I13" s="202"/>
      <c r="J13" s="202"/>
      <c r="K13" s="202"/>
      <c r="L13" s="202"/>
      <c r="M13" s="202"/>
      <c r="N13" s="202"/>
      <c r="O13" s="202"/>
      <c r="P13" s="202"/>
      <c r="Q13" s="202"/>
      <c r="R13" s="202"/>
      <c r="S13" s="202"/>
      <c r="T13" s="202"/>
      <c r="U13" s="246"/>
      <c r="W13" s="204"/>
    </row>
    <row r="14" spans="1:27" ht="18" customHeight="1">
      <c r="B14" s="245"/>
      <c r="C14" s="202" t="s">
        <v>914</v>
      </c>
      <c r="D14" s="202"/>
      <c r="E14" s="202"/>
      <c r="F14" s="202"/>
      <c r="G14" s="202"/>
      <c r="H14" s="202"/>
      <c r="I14" s="202"/>
      <c r="J14" s="202"/>
      <c r="K14" s="202"/>
      <c r="L14" s="202"/>
      <c r="M14" s="202"/>
      <c r="N14" s="202"/>
      <c r="O14" s="202"/>
      <c r="P14" s="202"/>
      <c r="Q14" s="202"/>
      <c r="R14" s="202"/>
      <c r="S14" s="202"/>
      <c r="T14" s="202"/>
      <c r="U14" s="246"/>
      <c r="W14" s="204"/>
    </row>
    <row r="15" spans="1:27" ht="14" customHeight="1" thickBot="1">
      <c r="B15" s="247"/>
      <c r="C15" s="248"/>
      <c r="D15" s="248"/>
      <c r="E15" s="248"/>
      <c r="F15" s="248"/>
      <c r="G15" s="248"/>
      <c r="H15" s="248"/>
      <c r="I15" s="248"/>
      <c r="J15" s="248"/>
      <c r="K15" s="248"/>
      <c r="L15" s="248"/>
      <c r="M15" s="248"/>
      <c r="N15" s="248"/>
      <c r="O15" s="248"/>
      <c r="P15" s="248"/>
      <c r="Q15" s="248"/>
      <c r="R15" s="248"/>
      <c r="S15" s="248"/>
      <c r="T15" s="248"/>
      <c r="U15" s="249"/>
      <c r="W15" s="204"/>
    </row>
    <row r="16" spans="1:27" ht="18" customHeight="1" thickBot="1">
      <c r="W16" s="204"/>
    </row>
    <row r="17" spans="2:27" ht="32" customHeight="1" thickBot="1">
      <c r="B17" s="1700" t="s">
        <v>916</v>
      </c>
      <c r="C17" s="1701"/>
      <c r="D17" s="1701"/>
      <c r="E17" s="1701"/>
      <c r="F17" s="1701"/>
      <c r="G17" s="1701"/>
      <c r="H17" s="1701"/>
      <c r="I17" s="1701"/>
      <c r="J17" s="1701"/>
      <c r="K17" s="1701"/>
      <c r="L17" s="1701"/>
      <c r="M17" s="1701"/>
      <c r="N17" s="1701"/>
      <c r="O17" s="1701"/>
      <c r="P17" s="1701"/>
      <c r="Q17" s="1701"/>
      <c r="R17" s="1701"/>
      <c r="S17" s="1701"/>
      <c r="T17" s="1701"/>
      <c r="U17" s="1702"/>
      <c r="W17" s="204"/>
    </row>
    <row r="18" spans="2:27" ht="18" customHeight="1" thickBot="1">
      <c r="W18" s="204"/>
      <c r="X18" s="504"/>
    </row>
    <row r="19" spans="2:27" ht="6" customHeight="1">
      <c r="B19" s="674"/>
      <c r="C19" s="675"/>
      <c r="D19" s="654"/>
      <c r="E19" s="654"/>
      <c r="F19" s="654"/>
      <c r="G19" s="654"/>
      <c r="H19" s="654"/>
      <c r="I19" s="654"/>
      <c r="J19" s="654"/>
      <c r="K19" s="654"/>
      <c r="L19" s="654"/>
      <c r="M19" s="654"/>
      <c r="N19" s="654"/>
      <c r="O19" s="654"/>
      <c r="P19" s="654"/>
      <c r="Q19" s="654"/>
      <c r="R19" s="654"/>
      <c r="S19" s="654"/>
      <c r="T19" s="654"/>
      <c r="U19" s="676"/>
      <c r="W19" s="204"/>
      <c r="X19" s="504"/>
    </row>
    <row r="20" spans="2:27" ht="32" customHeight="1">
      <c r="B20" s="640"/>
      <c r="C20" s="982" t="s">
        <v>918</v>
      </c>
      <c r="D20" s="643"/>
      <c r="E20" s="643"/>
      <c r="F20" s="643"/>
      <c r="G20" s="643"/>
      <c r="H20" s="643"/>
      <c r="I20" s="643"/>
      <c r="J20" s="643"/>
      <c r="K20" s="643"/>
      <c r="L20" s="643"/>
      <c r="M20" s="643"/>
      <c r="N20" s="643"/>
      <c r="O20" s="643"/>
      <c r="P20" s="643"/>
      <c r="Q20" s="643"/>
      <c r="R20" s="643"/>
      <c r="S20" s="643"/>
      <c r="T20" s="643"/>
      <c r="U20" s="650"/>
      <c r="W20" s="204"/>
      <c r="X20" s="504"/>
    </row>
    <row r="21" spans="2:27" ht="12" customHeight="1">
      <c r="B21" s="527"/>
      <c r="C21" s="523"/>
      <c r="D21" s="523"/>
      <c r="E21" s="528"/>
      <c r="F21" s="528"/>
      <c r="G21" s="528"/>
      <c r="H21" s="528"/>
      <c r="I21" s="528"/>
      <c r="J21" s="528"/>
      <c r="K21" s="528"/>
      <c r="L21" s="528"/>
      <c r="N21" s="561"/>
      <c r="O21" s="561"/>
      <c r="P21" s="561"/>
      <c r="Q21" s="528"/>
      <c r="R21" s="528"/>
      <c r="S21" s="528"/>
      <c r="T21" s="528"/>
      <c r="U21" s="529"/>
      <c r="W21" s="204"/>
      <c r="X21" s="504"/>
      <c r="Z21" s="5"/>
      <c r="AA21" s="5"/>
    </row>
    <row r="22" spans="2:27" ht="44" customHeight="1">
      <c r="B22" s="527"/>
      <c r="C22" s="1719" t="s">
        <v>1025</v>
      </c>
      <c r="D22" s="1720"/>
      <c r="E22" s="1720"/>
      <c r="F22" s="1720"/>
      <c r="G22" s="1720"/>
      <c r="H22" s="1720"/>
      <c r="I22" s="1720"/>
      <c r="J22" s="1720"/>
      <c r="K22" s="1720"/>
      <c r="L22" s="1720"/>
      <c r="M22" s="1720"/>
      <c r="N22" s="1720"/>
      <c r="O22" s="1720"/>
      <c r="P22" s="1720"/>
      <c r="Q22" s="1721"/>
      <c r="R22" s="1010" t="s">
        <v>403</v>
      </c>
      <c r="S22" s="1011" t="s">
        <v>774</v>
      </c>
      <c r="T22" s="985" t="s">
        <v>917</v>
      </c>
      <c r="U22" s="529"/>
      <c r="W22" s="204"/>
      <c r="X22" s="504"/>
      <c r="AA22" s="5"/>
    </row>
    <row r="23" spans="2:27" ht="24" customHeight="1">
      <c r="B23" s="527"/>
      <c r="C23" s="1722" t="s">
        <v>919</v>
      </c>
      <c r="D23" s="1723"/>
      <c r="E23" s="1723"/>
      <c r="F23" s="1723"/>
      <c r="G23" s="1723"/>
      <c r="H23" s="1723"/>
      <c r="I23" s="1723"/>
      <c r="J23" s="1723"/>
      <c r="K23" s="1723"/>
      <c r="L23" s="1723"/>
      <c r="M23" s="1723"/>
      <c r="N23" s="1723"/>
      <c r="O23" s="1723"/>
      <c r="P23" s="1723"/>
      <c r="Q23" s="1723"/>
      <c r="R23" s="1012"/>
      <c r="S23" s="1012"/>
      <c r="T23" s="987"/>
      <c r="U23" s="529"/>
      <c r="W23" s="204"/>
      <c r="X23" s="504"/>
    </row>
    <row r="24" spans="2:27" ht="24" customHeight="1">
      <c r="B24" s="527"/>
      <c r="C24" s="1722" t="s">
        <v>920</v>
      </c>
      <c r="D24" s="1723"/>
      <c r="E24" s="1723"/>
      <c r="F24" s="1723"/>
      <c r="G24" s="1723"/>
      <c r="H24" s="1723"/>
      <c r="I24" s="1723"/>
      <c r="J24" s="1723"/>
      <c r="K24" s="1723"/>
      <c r="L24" s="1723"/>
      <c r="M24" s="1723"/>
      <c r="N24" s="1723"/>
      <c r="O24" s="1723"/>
      <c r="P24" s="1723"/>
      <c r="Q24" s="1723"/>
      <c r="R24" s="1012"/>
      <c r="S24" s="1012"/>
      <c r="T24" s="987"/>
      <c r="U24" s="529"/>
      <c r="W24" s="204"/>
      <c r="X24" s="504"/>
    </row>
    <row r="25" spans="2:27" ht="54" customHeight="1">
      <c r="B25" s="527"/>
      <c r="C25" s="1724" t="s">
        <v>925</v>
      </c>
      <c r="D25" s="1725"/>
      <c r="E25" s="1725"/>
      <c r="F25" s="1725"/>
      <c r="G25" s="1725"/>
      <c r="H25" s="1725"/>
      <c r="I25" s="1725"/>
      <c r="J25" s="1725"/>
      <c r="K25" s="1725"/>
      <c r="L25" s="1725"/>
      <c r="M25" s="1725"/>
      <c r="N25" s="1725"/>
      <c r="O25" s="1725"/>
      <c r="P25" s="1725"/>
      <c r="Q25" s="1725"/>
      <c r="R25" s="1012"/>
      <c r="S25" s="1012"/>
      <c r="T25" s="987"/>
      <c r="U25" s="529"/>
      <c r="W25" s="204"/>
      <c r="X25" s="504"/>
    </row>
    <row r="26" spans="2:27" ht="24" customHeight="1">
      <c r="B26" s="527"/>
      <c r="C26" s="1722" t="s">
        <v>921</v>
      </c>
      <c r="D26" s="1723"/>
      <c r="E26" s="1723"/>
      <c r="F26" s="1723"/>
      <c r="G26" s="1723"/>
      <c r="H26" s="1723"/>
      <c r="I26" s="1723"/>
      <c r="J26" s="1723"/>
      <c r="K26" s="1723"/>
      <c r="L26" s="1723"/>
      <c r="M26" s="1723"/>
      <c r="N26" s="1723"/>
      <c r="O26" s="1723"/>
      <c r="P26" s="1723"/>
      <c r="Q26" s="1723"/>
      <c r="R26" s="1012"/>
      <c r="S26" s="1012"/>
      <c r="T26" s="987"/>
      <c r="U26" s="529"/>
      <c r="W26" s="204"/>
      <c r="X26" s="504"/>
    </row>
    <row r="27" spans="2:27" ht="37.5" customHeight="1">
      <c r="B27" s="527"/>
      <c r="C27" s="1724" t="s">
        <v>926</v>
      </c>
      <c r="D27" s="1723"/>
      <c r="E27" s="1723"/>
      <c r="F27" s="1723"/>
      <c r="G27" s="1723"/>
      <c r="H27" s="1723"/>
      <c r="I27" s="1723"/>
      <c r="J27" s="1723"/>
      <c r="K27" s="1723"/>
      <c r="L27" s="1723"/>
      <c r="M27" s="1723"/>
      <c r="N27" s="1723"/>
      <c r="O27" s="1723"/>
      <c r="P27" s="1723"/>
      <c r="Q27" s="1723"/>
      <c r="R27" s="1012"/>
      <c r="S27" s="1012"/>
      <c r="T27" s="987"/>
      <c r="U27" s="529"/>
      <c r="W27" s="204"/>
      <c r="X27" s="504"/>
    </row>
    <row r="28" spans="2:27" ht="24" customHeight="1">
      <c r="B28" s="527"/>
      <c r="C28" s="1722" t="s">
        <v>922</v>
      </c>
      <c r="D28" s="1723"/>
      <c r="E28" s="1723"/>
      <c r="F28" s="1723"/>
      <c r="G28" s="1723"/>
      <c r="H28" s="1723"/>
      <c r="I28" s="1723"/>
      <c r="J28" s="1723"/>
      <c r="K28" s="1723"/>
      <c r="L28" s="1723"/>
      <c r="M28" s="1723"/>
      <c r="N28" s="1723"/>
      <c r="O28" s="1723"/>
      <c r="P28" s="1723"/>
      <c r="Q28" s="1723"/>
      <c r="R28" s="1012"/>
      <c r="S28" s="1012"/>
      <c r="T28" s="987"/>
      <c r="U28" s="529"/>
      <c r="W28" s="204"/>
      <c r="X28" s="504"/>
    </row>
    <row r="29" spans="2:27" ht="24" customHeight="1">
      <c r="B29" s="527"/>
      <c r="C29" s="1726" t="s">
        <v>923</v>
      </c>
      <c r="D29" s="1727"/>
      <c r="E29" s="1727"/>
      <c r="F29" s="1727"/>
      <c r="G29" s="1727"/>
      <c r="H29" s="1727"/>
      <c r="I29" s="1727"/>
      <c r="J29" s="1727"/>
      <c r="K29" s="1727"/>
      <c r="L29" s="1727"/>
      <c r="M29" s="1727"/>
      <c r="N29" s="1727"/>
      <c r="O29" s="1727"/>
      <c r="P29" s="1727"/>
      <c r="Q29" s="1727"/>
      <c r="R29" s="988"/>
      <c r="S29" s="988"/>
      <c r="T29" s="989"/>
      <c r="U29" s="529"/>
      <c r="W29" s="204"/>
      <c r="X29" s="504"/>
    </row>
    <row r="30" spans="2:27" ht="12" customHeight="1">
      <c r="B30" s="527"/>
      <c r="C30" s="451"/>
      <c r="D30" s="451"/>
      <c r="E30" s="451"/>
      <c r="F30" s="451"/>
      <c r="G30" s="451"/>
      <c r="H30" s="451"/>
      <c r="I30" s="451"/>
      <c r="J30" s="451"/>
      <c r="K30" s="451"/>
      <c r="L30" s="451"/>
      <c r="M30" s="451"/>
      <c r="N30" s="451"/>
      <c r="O30" s="451"/>
      <c r="P30" s="451"/>
      <c r="Q30" s="451"/>
      <c r="R30" s="983"/>
      <c r="S30" s="983"/>
      <c r="T30" s="984"/>
      <c r="U30" s="529"/>
      <c r="W30" s="204"/>
      <c r="X30" s="504"/>
    </row>
    <row r="31" spans="2:27" ht="60" customHeight="1">
      <c r="B31" s="527"/>
      <c r="C31" s="1711" t="s">
        <v>1026</v>
      </c>
      <c r="D31" s="1712"/>
      <c r="E31" s="1712"/>
      <c r="F31" s="1712"/>
      <c r="G31" s="1712"/>
      <c r="H31" s="1712"/>
      <c r="I31" s="1712"/>
      <c r="J31" s="1712"/>
      <c r="K31" s="1712"/>
      <c r="L31" s="1712"/>
      <c r="M31" s="1712"/>
      <c r="N31" s="1712"/>
      <c r="O31" s="1712"/>
      <c r="P31" s="1712"/>
      <c r="Q31" s="1713"/>
      <c r="R31" s="1013" t="s">
        <v>403</v>
      </c>
      <c r="S31" s="1014" t="s">
        <v>774</v>
      </c>
      <c r="T31" s="985" t="s">
        <v>917</v>
      </c>
      <c r="U31" s="529"/>
      <c r="W31" s="204"/>
      <c r="X31" s="504"/>
    </row>
    <row r="32" spans="2:27" ht="130" customHeight="1">
      <c r="B32" s="527"/>
      <c r="C32" s="1715" t="s">
        <v>1027</v>
      </c>
      <c r="D32" s="1593"/>
      <c r="E32" s="1593"/>
      <c r="F32" s="1593"/>
      <c r="G32" s="1593"/>
      <c r="H32" s="1593"/>
      <c r="I32" s="1593"/>
      <c r="J32" s="1593"/>
      <c r="K32" s="1593"/>
      <c r="L32" s="1593"/>
      <c r="M32" s="1593"/>
      <c r="N32" s="1593"/>
      <c r="O32" s="1593"/>
      <c r="P32" s="1593"/>
      <c r="Q32" s="1593"/>
      <c r="R32" s="990"/>
      <c r="S32" s="990"/>
      <c r="T32" s="972"/>
      <c r="U32" s="529"/>
      <c r="W32" s="204"/>
      <c r="X32" s="504"/>
    </row>
    <row r="33" spans="2:24" ht="24" customHeight="1">
      <c r="B33" s="527"/>
      <c r="C33" s="1714" t="s">
        <v>928</v>
      </c>
      <c r="D33" s="1593"/>
      <c r="E33" s="1593"/>
      <c r="F33" s="1593"/>
      <c r="G33" s="1593"/>
      <c r="H33" s="1593"/>
      <c r="I33" s="1593"/>
      <c r="J33" s="1593"/>
      <c r="K33" s="1593"/>
      <c r="L33" s="1593"/>
      <c r="M33" s="1593"/>
      <c r="N33" s="1593"/>
      <c r="O33" s="1593"/>
      <c r="P33" s="1593"/>
      <c r="Q33" s="1593"/>
      <c r="R33" s="990"/>
      <c r="S33" s="990"/>
      <c r="T33" s="972"/>
      <c r="U33" s="529"/>
      <c r="W33" s="204"/>
      <c r="X33" s="504"/>
    </row>
    <row r="34" spans="2:24" ht="54.75" customHeight="1">
      <c r="B34" s="527"/>
      <c r="C34" s="1715" t="s">
        <v>1029</v>
      </c>
      <c r="D34" s="1593"/>
      <c r="E34" s="1593"/>
      <c r="F34" s="1593"/>
      <c r="G34" s="1593"/>
      <c r="H34" s="1593"/>
      <c r="I34" s="1593"/>
      <c r="J34" s="1593"/>
      <c r="K34" s="1593"/>
      <c r="L34" s="1593"/>
      <c r="M34" s="1593"/>
      <c r="N34" s="1593"/>
      <c r="O34" s="1593"/>
      <c r="P34" s="1593"/>
      <c r="Q34" s="1593"/>
      <c r="R34" s="990"/>
      <c r="S34" s="990"/>
      <c r="T34" s="972"/>
      <c r="U34" s="529"/>
      <c r="W34" s="204"/>
      <c r="X34" s="504"/>
    </row>
    <row r="35" spans="2:24" ht="54" customHeight="1">
      <c r="B35" s="527"/>
      <c r="C35" s="1728" t="s">
        <v>1028</v>
      </c>
      <c r="D35" s="1593"/>
      <c r="E35" s="1593"/>
      <c r="F35" s="1593"/>
      <c r="G35" s="1593"/>
      <c r="H35" s="1593"/>
      <c r="I35" s="1593"/>
      <c r="J35" s="1593"/>
      <c r="K35" s="1593"/>
      <c r="L35" s="1593"/>
      <c r="M35" s="1593"/>
      <c r="N35" s="1593"/>
      <c r="O35" s="1593"/>
      <c r="P35" s="1593"/>
      <c r="Q35" s="1593"/>
      <c r="R35" s="990"/>
      <c r="S35" s="990"/>
      <c r="T35" s="972"/>
      <c r="U35" s="529"/>
      <c r="W35" s="204"/>
      <c r="X35" s="504"/>
    </row>
    <row r="36" spans="2:24" ht="24" customHeight="1">
      <c r="B36" s="527"/>
      <c r="C36" s="1710" t="s">
        <v>924</v>
      </c>
      <c r="D36" s="1595"/>
      <c r="E36" s="1595"/>
      <c r="F36" s="1595"/>
      <c r="G36" s="1595"/>
      <c r="H36" s="1595"/>
      <c r="I36" s="1595"/>
      <c r="J36" s="1595"/>
      <c r="K36" s="1595"/>
      <c r="L36" s="1595"/>
      <c r="M36" s="1595"/>
      <c r="N36" s="1595"/>
      <c r="O36" s="1595"/>
      <c r="P36" s="1595"/>
      <c r="Q36" s="1595"/>
      <c r="R36" s="991"/>
      <c r="S36" s="991"/>
      <c r="T36" s="975"/>
      <c r="U36" s="529"/>
      <c r="W36" s="204"/>
      <c r="X36" s="504"/>
    </row>
    <row r="37" spans="2:24" ht="12" customHeight="1">
      <c r="B37" s="527"/>
      <c r="C37" s="451"/>
      <c r="D37" s="451"/>
      <c r="E37" s="451"/>
      <c r="F37" s="451"/>
      <c r="G37" s="451"/>
      <c r="H37" s="451"/>
      <c r="I37" s="451"/>
      <c r="J37" s="451"/>
      <c r="K37" s="451"/>
      <c r="L37" s="451"/>
      <c r="M37" s="451"/>
      <c r="N37" s="451"/>
      <c r="O37" s="451"/>
      <c r="P37" s="451"/>
      <c r="Q37" s="451"/>
      <c r="R37" s="451"/>
      <c r="S37" s="451"/>
      <c r="T37" s="451"/>
      <c r="U37" s="529"/>
      <c r="W37" s="204"/>
      <c r="X37" s="504"/>
    </row>
    <row r="38" spans="2:24" ht="60" customHeight="1">
      <c r="B38" s="527"/>
      <c r="C38" s="1711" t="s">
        <v>927</v>
      </c>
      <c r="D38" s="1712"/>
      <c r="E38" s="1712"/>
      <c r="F38" s="1712"/>
      <c r="G38" s="1712"/>
      <c r="H38" s="1712"/>
      <c r="I38" s="1712"/>
      <c r="J38" s="1712"/>
      <c r="K38" s="1712"/>
      <c r="L38" s="1712"/>
      <c r="M38" s="1712"/>
      <c r="N38" s="1712"/>
      <c r="O38" s="1712"/>
      <c r="P38" s="1712"/>
      <c r="Q38" s="1713"/>
      <c r="R38" s="1013" t="s">
        <v>403</v>
      </c>
      <c r="S38" s="1014" t="s">
        <v>774</v>
      </c>
      <c r="T38" s="986" t="s">
        <v>917</v>
      </c>
      <c r="U38" s="529"/>
      <c r="W38" s="204"/>
      <c r="X38" s="504"/>
    </row>
    <row r="39" spans="2:24" ht="24" customHeight="1">
      <c r="B39" s="527"/>
      <c r="C39" s="1714" t="s">
        <v>929</v>
      </c>
      <c r="D39" s="1593"/>
      <c r="E39" s="1593"/>
      <c r="F39" s="1593"/>
      <c r="G39" s="1593"/>
      <c r="H39" s="1593"/>
      <c r="I39" s="1593"/>
      <c r="J39" s="1593"/>
      <c r="K39" s="1593"/>
      <c r="L39" s="1593"/>
      <c r="M39" s="1593"/>
      <c r="N39" s="1593"/>
      <c r="O39" s="1593"/>
      <c r="P39" s="1593"/>
      <c r="Q39" s="1593"/>
      <c r="R39" s="990"/>
      <c r="S39" s="990"/>
      <c r="T39" s="972"/>
      <c r="U39" s="529"/>
      <c r="W39" s="204"/>
      <c r="X39" s="504"/>
    </row>
    <row r="40" spans="2:24" ht="24" customHeight="1">
      <c r="B40" s="527"/>
      <c r="C40" s="1714" t="s">
        <v>959</v>
      </c>
      <c r="D40" s="1593"/>
      <c r="E40" s="1593"/>
      <c r="F40" s="1593"/>
      <c r="G40" s="1593"/>
      <c r="H40" s="1593"/>
      <c r="I40" s="1593"/>
      <c r="J40" s="1593"/>
      <c r="K40" s="1593"/>
      <c r="L40" s="1593"/>
      <c r="M40" s="1593"/>
      <c r="N40" s="1593"/>
      <c r="O40" s="1593"/>
      <c r="P40" s="1593"/>
      <c r="Q40" s="1593"/>
      <c r="R40" s="990"/>
      <c r="S40" s="990"/>
      <c r="T40" s="972"/>
      <c r="U40" s="529"/>
      <c r="W40" s="204"/>
      <c r="X40" s="504"/>
    </row>
    <row r="41" spans="2:24" ht="24" customHeight="1">
      <c r="B41" s="527"/>
      <c r="C41" s="1718" t="s">
        <v>930</v>
      </c>
      <c r="D41" s="1595"/>
      <c r="E41" s="1595"/>
      <c r="F41" s="1595"/>
      <c r="G41" s="1595"/>
      <c r="H41" s="1595"/>
      <c r="I41" s="1595"/>
      <c r="J41" s="1595"/>
      <c r="K41" s="1595"/>
      <c r="L41" s="1595"/>
      <c r="M41" s="1595"/>
      <c r="N41" s="1595"/>
      <c r="O41" s="1595"/>
      <c r="P41" s="1595"/>
      <c r="Q41" s="1595"/>
      <c r="R41" s="991"/>
      <c r="S41" s="991"/>
      <c r="T41" s="975"/>
      <c r="U41" s="529"/>
      <c r="W41" s="204"/>
      <c r="X41" s="504"/>
    </row>
    <row r="42" spans="2:24" ht="12" customHeight="1">
      <c r="B42" s="527"/>
      <c r="C42" s="451"/>
      <c r="D42" s="451"/>
      <c r="E42" s="451"/>
      <c r="F42" s="451"/>
      <c r="G42" s="451"/>
      <c r="H42" s="451"/>
      <c r="I42" s="451"/>
      <c r="J42" s="451"/>
      <c r="K42" s="451"/>
      <c r="L42" s="451"/>
      <c r="M42" s="451"/>
      <c r="N42" s="451"/>
      <c r="O42" s="451"/>
      <c r="P42" s="451"/>
      <c r="Q42" s="451"/>
      <c r="R42" s="451"/>
      <c r="S42" s="451"/>
      <c r="T42" s="451"/>
      <c r="U42" s="529"/>
      <c r="W42" s="204"/>
      <c r="X42" s="504"/>
    </row>
    <row r="43" spans="2:24" ht="76" customHeight="1">
      <c r="B43" s="527"/>
      <c r="C43" s="1711" t="s">
        <v>931</v>
      </c>
      <c r="D43" s="1712"/>
      <c r="E43" s="1712"/>
      <c r="F43" s="1712"/>
      <c r="G43" s="1712"/>
      <c r="H43" s="1712"/>
      <c r="I43" s="1712"/>
      <c r="J43" s="1712"/>
      <c r="K43" s="1712"/>
      <c r="L43" s="1712"/>
      <c r="M43" s="1712"/>
      <c r="N43" s="1712"/>
      <c r="O43" s="1712"/>
      <c r="P43" s="1712"/>
      <c r="Q43" s="1713"/>
      <c r="R43" s="1013" t="s">
        <v>403</v>
      </c>
      <c r="S43" s="1014" t="s">
        <v>774</v>
      </c>
      <c r="T43" s="986" t="s">
        <v>917</v>
      </c>
      <c r="U43" s="529"/>
      <c r="W43" s="204"/>
      <c r="X43" s="504"/>
    </row>
    <row r="44" spans="2:24" ht="24" customHeight="1">
      <c r="B44" s="527"/>
      <c r="C44" s="1714" t="s">
        <v>960</v>
      </c>
      <c r="D44" s="1593"/>
      <c r="E44" s="1593"/>
      <c r="F44" s="1593"/>
      <c r="G44" s="1593"/>
      <c r="H44" s="1593"/>
      <c r="I44" s="1593"/>
      <c r="J44" s="1593"/>
      <c r="K44" s="1593"/>
      <c r="L44" s="1593"/>
      <c r="M44" s="1593"/>
      <c r="N44" s="1593"/>
      <c r="O44" s="1593"/>
      <c r="P44" s="1593"/>
      <c r="Q44" s="1593"/>
      <c r="R44" s="990"/>
      <c r="S44" s="990"/>
      <c r="T44" s="972"/>
      <c r="U44" s="529"/>
      <c r="W44" s="204"/>
      <c r="X44" s="504"/>
    </row>
    <row r="45" spans="2:24" ht="24" customHeight="1">
      <c r="B45" s="527"/>
      <c r="C45" s="1714" t="s">
        <v>932</v>
      </c>
      <c r="D45" s="1593"/>
      <c r="E45" s="1593"/>
      <c r="F45" s="1593"/>
      <c r="G45" s="1593"/>
      <c r="H45" s="1593"/>
      <c r="I45" s="1593"/>
      <c r="J45" s="1593"/>
      <c r="K45" s="1593"/>
      <c r="L45" s="1593"/>
      <c r="M45" s="1593"/>
      <c r="N45" s="1593"/>
      <c r="O45" s="1593"/>
      <c r="P45" s="1593"/>
      <c r="Q45" s="1593"/>
      <c r="R45" s="990"/>
      <c r="S45" s="990"/>
      <c r="T45" s="972"/>
      <c r="U45" s="529"/>
      <c r="W45" s="204"/>
      <c r="X45" s="504"/>
    </row>
    <row r="46" spans="2:24" ht="24" customHeight="1">
      <c r="B46" s="527"/>
      <c r="C46" s="1714" t="s">
        <v>933</v>
      </c>
      <c r="D46" s="1593"/>
      <c r="E46" s="1593"/>
      <c r="F46" s="1593"/>
      <c r="G46" s="1593"/>
      <c r="H46" s="1593"/>
      <c r="I46" s="1593"/>
      <c r="J46" s="1593"/>
      <c r="K46" s="1593"/>
      <c r="L46" s="1593"/>
      <c r="M46" s="1593"/>
      <c r="N46" s="1593"/>
      <c r="O46" s="1593"/>
      <c r="P46" s="1593"/>
      <c r="Q46" s="1593"/>
      <c r="R46" s="990"/>
      <c r="S46" s="990"/>
      <c r="T46" s="972"/>
      <c r="U46" s="529"/>
      <c r="W46" s="204"/>
      <c r="X46" s="504"/>
    </row>
    <row r="47" spans="2:24" ht="24" customHeight="1">
      <c r="B47" s="527"/>
      <c r="C47" s="1714" t="s">
        <v>934</v>
      </c>
      <c r="D47" s="1593"/>
      <c r="E47" s="1593"/>
      <c r="F47" s="1593"/>
      <c r="G47" s="1593"/>
      <c r="H47" s="1593"/>
      <c r="I47" s="1593"/>
      <c r="J47" s="1593"/>
      <c r="K47" s="1593"/>
      <c r="L47" s="1593"/>
      <c r="M47" s="1593"/>
      <c r="N47" s="1593"/>
      <c r="O47" s="1593"/>
      <c r="P47" s="1593"/>
      <c r="Q47" s="1593"/>
      <c r="R47" s="990"/>
      <c r="S47" s="990"/>
      <c r="T47" s="972"/>
      <c r="U47" s="529"/>
      <c r="W47" s="204"/>
      <c r="X47" s="504"/>
    </row>
    <row r="48" spans="2:24" ht="24" customHeight="1">
      <c r="B48" s="527"/>
      <c r="C48" s="1714" t="s">
        <v>935</v>
      </c>
      <c r="D48" s="1593"/>
      <c r="E48" s="1593"/>
      <c r="F48" s="1593"/>
      <c r="G48" s="1593"/>
      <c r="H48" s="1593"/>
      <c r="I48" s="1593"/>
      <c r="J48" s="1593"/>
      <c r="K48" s="1593"/>
      <c r="L48" s="1593"/>
      <c r="M48" s="1593"/>
      <c r="N48" s="1593"/>
      <c r="O48" s="1593"/>
      <c r="P48" s="1593"/>
      <c r="Q48" s="1593"/>
      <c r="R48" s="990"/>
      <c r="S48" s="990"/>
      <c r="T48" s="972"/>
      <c r="U48" s="529"/>
      <c r="W48" s="204"/>
      <c r="X48" s="504"/>
    </row>
    <row r="49" spans="2:24" ht="70" customHeight="1">
      <c r="B49" s="527"/>
      <c r="C49" s="1715" t="s">
        <v>961</v>
      </c>
      <c r="D49" s="1593"/>
      <c r="E49" s="1593"/>
      <c r="F49" s="1593"/>
      <c r="G49" s="1593"/>
      <c r="H49" s="1593"/>
      <c r="I49" s="1593"/>
      <c r="J49" s="1593"/>
      <c r="K49" s="1593"/>
      <c r="L49" s="1593"/>
      <c r="M49" s="1593"/>
      <c r="N49" s="1593"/>
      <c r="O49" s="1593"/>
      <c r="P49" s="1593"/>
      <c r="Q49" s="1593"/>
      <c r="R49" s="990"/>
      <c r="S49" s="990"/>
      <c r="T49" s="972"/>
      <c r="U49" s="529"/>
      <c r="W49" s="204"/>
      <c r="X49" s="504"/>
    </row>
    <row r="50" spans="2:24" ht="54" customHeight="1">
      <c r="B50" s="527"/>
      <c r="C50" s="1710" t="s">
        <v>936</v>
      </c>
      <c r="D50" s="1595"/>
      <c r="E50" s="1595"/>
      <c r="F50" s="1595"/>
      <c r="G50" s="1595"/>
      <c r="H50" s="1595"/>
      <c r="I50" s="1595"/>
      <c r="J50" s="1595"/>
      <c r="K50" s="1595"/>
      <c r="L50" s="1595"/>
      <c r="M50" s="1595"/>
      <c r="N50" s="1595"/>
      <c r="O50" s="1595"/>
      <c r="P50" s="1595"/>
      <c r="Q50" s="1595"/>
      <c r="R50" s="991"/>
      <c r="S50" s="991"/>
      <c r="T50" s="975"/>
      <c r="U50" s="529"/>
      <c r="W50" s="204"/>
      <c r="X50" s="504"/>
    </row>
    <row r="51" spans="2:24" ht="18" customHeight="1">
      <c r="B51" s="531"/>
      <c r="C51" s="532"/>
      <c r="D51" s="543"/>
      <c r="E51" s="543"/>
      <c r="F51" s="543"/>
      <c r="G51" s="543"/>
      <c r="H51" s="543"/>
      <c r="I51" s="543"/>
      <c r="J51" s="532"/>
      <c r="K51" s="532"/>
      <c r="L51" s="532"/>
      <c r="M51" s="532"/>
      <c r="N51" s="562"/>
      <c r="O51" s="562"/>
      <c r="P51" s="562"/>
      <c r="Q51" s="532"/>
      <c r="R51" s="532"/>
      <c r="S51" s="532"/>
      <c r="T51" s="532"/>
      <c r="U51" s="533"/>
      <c r="W51" s="204"/>
      <c r="X51" s="504"/>
    </row>
    <row r="52" spans="2:24" ht="32" customHeight="1">
      <c r="B52" s="524"/>
      <c r="C52" s="992" t="s">
        <v>937</v>
      </c>
      <c r="D52" s="993"/>
      <c r="E52" s="993"/>
      <c r="F52" s="993"/>
      <c r="G52" s="993"/>
      <c r="H52" s="993"/>
      <c r="I52" s="993"/>
      <c r="J52" s="993"/>
      <c r="K52" s="993"/>
      <c r="L52" s="993"/>
      <c r="M52" s="993"/>
      <c r="N52" s="993"/>
      <c r="O52" s="993"/>
      <c r="P52" s="993"/>
      <c r="Q52" s="993"/>
      <c r="R52" s="993"/>
      <c r="S52" s="993"/>
      <c r="T52" s="993"/>
      <c r="U52" s="526"/>
      <c r="W52" s="204"/>
      <c r="X52" s="504"/>
    </row>
    <row r="53" spans="2:24" ht="12" customHeight="1">
      <c r="B53" s="527"/>
      <c r="C53" s="528"/>
      <c r="D53" s="536"/>
      <c r="E53" s="536"/>
      <c r="F53" s="536"/>
      <c r="G53" s="536"/>
      <c r="H53" s="536"/>
      <c r="I53" s="536"/>
      <c r="J53" s="528"/>
      <c r="K53" s="528"/>
      <c r="L53" s="528"/>
      <c r="M53" s="528"/>
      <c r="N53" s="561"/>
      <c r="O53" s="561"/>
      <c r="P53" s="561"/>
      <c r="Q53" s="528"/>
      <c r="R53" s="528"/>
      <c r="S53" s="528"/>
      <c r="T53" s="528"/>
      <c r="U53" s="529"/>
      <c r="W53" s="204"/>
      <c r="X53" s="504"/>
    </row>
    <row r="54" spans="2:24" ht="76" customHeight="1">
      <c r="B54" s="527"/>
      <c r="C54" s="1711" t="s">
        <v>1015</v>
      </c>
      <c r="D54" s="1716"/>
      <c r="E54" s="1716"/>
      <c r="F54" s="1716"/>
      <c r="G54" s="1716"/>
      <c r="H54" s="1716"/>
      <c r="I54" s="1716"/>
      <c r="J54" s="1716"/>
      <c r="K54" s="1716"/>
      <c r="L54" s="1716"/>
      <c r="M54" s="1716"/>
      <c r="N54" s="1716"/>
      <c r="O54" s="1716"/>
      <c r="P54" s="1716"/>
      <c r="Q54" s="1716"/>
      <c r="R54" s="1013" t="s">
        <v>403</v>
      </c>
      <c r="S54" s="1014" t="s">
        <v>774</v>
      </c>
      <c r="T54" s="986" t="s">
        <v>917</v>
      </c>
      <c r="U54" s="529"/>
      <c r="W54" s="204"/>
      <c r="X54" s="504"/>
    </row>
    <row r="55" spans="2:24" ht="38" customHeight="1">
      <c r="B55" s="527"/>
      <c r="C55" s="1715" t="s">
        <v>946</v>
      </c>
      <c r="D55" s="1593"/>
      <c r="E55" s="1593"/>
      <c r="F55" s="1593"/>
      <c r="G55" s="1593"/>
      <c r="H55" s="1593"/>
      <c r="I55" s="1593"/>
      <c r="J55" s="1593"/>
      <c r="K55" s="1593"/>
      <c r="L55" s="1593"/>
      <c r="M55" s="1593"/>
      <c r="N55" s="1593"/>
      <c r="O55" s="1593"/>
      <c r="P55" s="1593"/>
      <c r="Q55" s="1593"/>
      <c r="R55" s="990"/>
      <c r="S55" s="990"/>
      <c r="T55" s="972"/>
      <c r="U55" s="529"/>
      <c r="W55" s="204"/>
      <c r="X55" s="504"/>
    </row>
    <row r="56" spans="2:24" ht="24" customHeight="1">
      <c r="B56" s="527"/>
      <c r="C56" s="1714" t="s">
        <v>943</v>
      </c>
      <c r="D56" s="1593"/>
      <c r="E56" s="1593"/>
      <c r="F56" s="1593"/>
      <c r="G56" s="1593"/>
      <c r="H56" s="1593"/>
      <c r="I56" s="1593"/>
      <c r="J56" s="1593"/>
      <c r="K56" s="1593"/>
      <c r="L56" s="1593"/>
      <c r="M56" s="1593"/>
      <c r="N56" s="1593"/>
      <c r="O56" s="1593"/>
      <c r="P56" s="1593"/>
      <c r="Q56" s="1593"/>
      <c r="R56" s="990"/>
      <c r="S56" s="990"/>
      <c r="T56" s="972"/>
      <c r="U56" s="529"/>
      <c r="W56" s="204"/>
      <c r="X56" s="504"/>
    </row>
    <row r="57" spans="2:24" ht="24" customHeight="1">
      <c r="B57" s="527"/>
      <c r="C57" s="1714" t="s">
        <v>962</v>
      </c>
      <c r="D57" s="1593"/>
      <c r="E57" s="1593"/>
      <c r="F57" s="1593"/>
      <c r="G57" s="1593"/>
      <c r="H57" s="1593"/>
      <c r="I57" s="1593"/>
      <c r="J57" s="1593"/>
      <c r="K57" s="1593"/>
      <c r="L57" s="1593"/>
      <c r="M57" s="1593"/>
      <c r="N57" s="1593"/>
      <c r="O57" s="1593"/>
      <c r="P57" s="1593"/>
      <c r="Q57" s="1593"/>
      <c r="R57" s="990"/>
      <c r="S57" s="990"/>
      <c r="T57" s="972"/>
      <c r="U57" s="529"/>
      <c r="W57" s="204"/>
      <c r="X57" s="504"/>
    </row>
    <row r="58" spans="2:24" ht="24" customHeight="1">
      <c r="B58" s="527"/>
      <c r="C58" s="1714" t="s">
        <v>944</v>
      </c>
      <c r="D58" s="1593"/>
      <c r="E58" s="1593"/>
      <c r="F58" s="1593"/>
      <c r="G58" s="1593"/>
      <c r="H58" s="1593"/>
      <c r="I58" s="1593"/>
      <c r="J58" s="1593"/>
      <c r="K58" s="1593"/>
      <c r="L58" s="1593"/>
      <c r="M58" s="1593"/>
      <c r="N58" s="1593"/>
      <c r="O58" s="1593"/>
      <c r="P58" s="1593"/>
      <c r="Q58" s="1593"/>
      <c r="R58" s="990"/>
      <c r="S58" s="990"/>
      <c r="T58" s="972"/>
      <c r="U58" s="529"/>
      <c r="W58" s="204"/>
      <c r="X58" s="504"/>
    </row>
    <row r="59" spans="2:24" ht="24" customHeight="1">
      <c r="B59" s="527"/>
      <c r="C59" s="1714" t="s">
        <v>945</v>
      </c>
      <c r="D59" s="1593"/>
      <c r="E59" s="1593"/>
      <c r="F59" s="1593"/>
      <c r="G59" s="1593"/>
      <c r="H59" s="1593"/>
      <c r="I59" s="1593"/>
      <c r="J59" s="1593"/>
      <c r="K59" s="1593"/>
      <c r="L59" s="1593"/>
      <c r="M59" s="1593"/>
      <c r="N59" s="1593"/>
      <c r="O59" s="1593"/>
      <c r="P59" s="1593"/>
      <c r="Q59" s="1593"/>
      <c r="R59" s="990"/>
      <c r="S59" s="990"/>
      <c r="T59" s="972"/>
      <c r="U59" s="529"/>
      <c r="W59" s="204"/>
      <c r="X59" s="504"/>
    </row>
    <row r="60" spans="2:24" ht="38" customHeight="1">
      <c r="B60" s="527"/>
      <c r="C60" s="1710" t="s">
        <v>1067</v>
      </c>
      <c r="D60" s="1595"/>
      <c r="E60" s="1595"/>
      <c r="F60" s="1595"/>
      <c r="G60" s="1595"/>
      <c r="H60" s="1595"/>
      <c r="I60" s="1595"/>
      <c r="J60" s="1595"/>
      <c r="K60" s="1595"/>
      <c r="L60" s="1595"/>
      <c r="M60" s="1595"/>
      <c r="N60" s="1595"/>
      <c r="O60" s="1595"/>
      <c r="P60" s="1595"/>
      <c r="Q60" s="1595"/>
      <c r="R60" s="991"/>
      <c r="S60" s="991"/>
      <c r="T60" s="975"/>
      <c r="U60" s="529"/>
      <c r="W60" s="204"/>
      <c r="X60" s="504"/>
    </row>
    <row r="61" spans="2:24" ht="12" customHeight="1">
      <c r="B61" s="527"/>
      <c r="C61" s="536"/>
      <c r="D61" s="536"/>
      <c r="E61" s="536"/>
      <c r="F61" s="536"/>
      <c r="G61" s="536"/>
      <c r="H61" s="536"/>
      <c r="I61" s="536"/>
      <c r="J61" s="536"/>
      <c r="K61" s="536"/>
      <c r="L61" s="536"/>
      <c r="M61" s="536"/>
      <c r="N61" s="536"/>
      <c r="O61" s="536"/>
      <c r="P61" s="536"/>
      <c r="Q61" s="536"/>
      <c r="R61" s="536"/>
      <c r="S61" s="536"/>
      <c r="T61" s="536"/>
      <c r="U61" s="529"/>
      <c r="W61" s="204"/>
      <c r="X61" s="504"/>
    </row>
    <row r="62" spans="2:24" ht="30" customHeight="1">
      <c r="B62" s="527"/>
      <c r="C62" s="1717" t="s">
        <v>940</v>
      </c>
      <c r="D62" s="1716"/>
      <c r="E62" s="1716"/>
      <c r="F62" s="1716"/>
      <c r="G62" s="1716"/>
      <c r="H62" s="1716"/>
      <c r="I62" s="1716"/>
      <c r="J62" s="1716"/>
      <c r="K62" s="1716"/>
      <c r="L62" s="1716"/>
      <c r="M62" s="1716"/>
      <c r="N62" s="1716"/>
      <c r="O62" s="1716"/>
      <c r="P62" s="1716"/>
      <c r="Q62" s="1716"/>
      <c r="R62" s="1013" t="s">
        <v>403</v>
      </c>
      <c r="S62" s="1014" t="s">
        <v>774</v>
      </c>
      <c r="T62" s="986" t="s">
        <v>917</v>
      </c>
      <c r="U62" s="529"/>
      <c r="W62" s="204"/>
      <c r="X62" s="504"/>
    </row>
    <row r="63" spans="2:24" ht="24" customHeight="1">
      <c r="B63" s="527"/>
      <c r="C63" s="1714" t="s">
        <v>947</v>
      </c>
      <c r="D63" s="1593"/>
      <c r="E63" s="1593"/>
      <c r="F63" s="1593"/>
      <c r="G63" s="1593"/>
      <c r="H63" s="1593"/>
      <c r="I63" s="1593"/>
      <c r="J63" s="1593"/>
      <c r="K63" s="1593"/>
      <c r="L63" s="1593"/>
      <c r="M63" s="1593"/>
      <c r="N63" s="1593"/>
      <c r="O63" s="1593"/>
      <c r="P63" s="1593"/>
      <c r="Q63" s="1593"/>
      <c r="R63" s="990"/>
      <c r="S63" s="990"/>
      <c r="T63" s="972"/>
      <c r="U63" s="529"/>
      <c r="W63" s="204"/>
      <c r="X63" s="504"/>
    </row>
    <row r="64" spans="2:24" ht="38" customHeight="1">
      <c r="B64" s="527"/>
      <c r="C64" s="1715" t="s">
        <v>948</v>
      </c>
      <c r="D64" s="1593"/>
      <c r="E64" s="1593"/>
      <c r="F64" s="1593"/>
      <c r="G64" s="1593"/>
      <c r="H64" s="1593"/>
      <c r="I64" s="1593"/>
      <c r="J64" s="1593"/>
      <c r="K64" s="1593"/>
      <c r="L64" s="1593"/>
      <c r="M64" s="1593"/>
      <c r="N64" s="1593"/>
      <c r="O64" s="1593"/>
      <c r="P64" s="1593"/>
      <c r="Q64" s="1593"/>
      <c r="R64" s="990"/>
      <c r="S64" s="990"/>
      <c r="T64" s="972"/>
      <c r="U64" s="529"/>
      <c r="W64" s="204"/>
      <c r="X64" s="504"/>
    </row>
    <row r="65" spans="2:24" ht="38" customHeight="1">
      <c r="B65" s="527"/>
      <c r="C65" s="1710" t="s">
        <v>1068</v>
      </c>
      <c r="D65" s="1595"/>
      <c r="E65" s="1595"/>
      <c r="F65" s="1595"/>
      <c r="G65" s="1595"/>
      <c r="H65" s="1595"/>
      <c r="I65" s="1595"/>
      <c r="J65" s="1595"/>
      <c r="K65" s="1595"/>
      <c r="L65" s="1595"/>
      <c r="M65" s="1595"/>
      <c r="N65" s="1595"/>
      <c r="O65" s="1595"/>
      <c r="P65" s="1595"/>
      <c r="Q65" s="1595"/>
      <c r="R65" s="991"/>
      <c r="S65" s="991"/>
      <c r="T65" s="975"/>
      <c r="U65" s="529"/>
      <c r="W65" s="204"/>
      <c r="X65" s="504"/>
    </row>
    <row r="66" spans="2:24" ht="12" customHeight="1">
      <c r="B66" s="527"/>
      <c r="C66" s="536"/>
      <c r="D66" s="536"/>
      <c r="E66" s="536"/>
      <c r="F66" s="536"/>
      <c r="G66" s="536"/>
      <c r="H66" s="536"/>
      <c r="I66" s="536"/>
      <c r="J66" s="536"/>
      <c r="K66" s="536"/>
      <c r="L66" s="536"/>
      <c r="M66" s="536"/>
      <c r="N66" s="536"/>
      <c r="O66" s="536"/>
      <c r="P66" s="536"/>
      <c r="Q66" s="536"/>
      <c r="R66" s="536"/>
      <c r="S66" s="536"/>
      <c r="T66" s="536"/>
      <c r="U66" s="529"/>
      <c r="W66" s="204"/>
      <c r="X66" s="504"/>
    </row>
    <row r="67" spans="2:24" ht="30" customHeight="1">
      <c r="B67" s="527"/>
      <c r="C67" s="1717" t="s">
        <v>941</v>
      </c>
      <c r="D67" s="1716"/>
      <c r="E67" s="1716"/>
      <c r="F67" s="1716"/>
      <c r="G67" s="1716"/>
      <c r="H67" s="1716"/>
      <c r="I67" s="1716"/>
      <c r="J67" s="1716"/>
      <c r="K67" s="1716"/>
      <c r="L67" s="1716"/>
      <c r="M67" s="1716"/>
      <c r="N67" s="1716"/>
      <c r="O67" s="1716"/>
      <c r="P67" s="1716"/>
      <c r="Q67" s="1716"/>
      <c r="R67" s="1013" t="s">
        <v>403</v>
      </c>
      <c r="S67" s="1014" t="s">
        <v>774</v>
      </c>
      <c r="T67" s="986" t="s">
        <v>917</v>
      </c>
      <c r="U67" s="529"/>
      <c r="W67" s="204"/>
      <c r="X67" s="504"/>
    </row>
    <row r="68" spans="2:24" ht="24" customHeight="1">
      <c r="B68" s="527"/>
      <c r="C68" s="1718" t="s">
        <v>949</v>
      </c>
      <c r="D68" s="1595"/>
      <c r="E68" s="1595"/>
      <c r="F68" s="1595"/>
      <c r="G68" s="1595"/>
      <c r="H68" s="1595"/>
      <c r="I68" s="1595"/>
      <c r="J68" s="1595"/>
      <c r="K68" s="1595"/>
      <c r="L68" s="1595"/>
      <c r="M68" s="1595"/>
      <c r="N68" s="1595"/>
      <c r="O68" s="1595"/>
      <c r="P68" s="1595"/>
      <c r="Q68" s="1595"/>
      <c r="R68" s="991"/>
      <c r="S68" s="991"/>
      <c r="T68" s="975"/>
      <c r="U68" s="529"/>
      <c r="W68" s="204"/>
      <c r="X68" s="504"/>
    </row>
    <row r="69" spans="2:24" ht="18" customHeight="1">
      <c r="B69" s="531"/>
      <c r="C69" s="374"/>
      <c r="D69" s="543"/>
      <c r="E69" s="543"/>
      <c r="F69" s="543"/>
      <c r="G69" s="543"/>
      <c r="H69" s="543"/>
      <c r="I69" s="543"/>
      <c r="J69" s="532"/>
      <c r="K69" s="532"/>
      <c r="L69" s="532"/>
      <c r="M69" s="532"/>
      <c r="N69" s="562"/>
      <c r="O69" s="562"/>
      <c r="P69" s="562"/>
      <c r="Q69" s="532"/>
      <c r="R69" s="532"/>
      <c r="S69" s="532"/>
      <c r="T69" s="532"/>
      <c r="U69" s="533"/>
      <c r="W69" s="204"/>
      <c r="X69" s="504"/>
    </row>
    <row r="70" spans="2:24" ht="32" customHeight="1">
      <c r="B70" s="524"/>
      <c r="C70" s="992" t="s">
        <v>938</v>
      </c>
      <c r="D70" s="993"/>
      <c r="E70" s="993"/>
      <c r="F70" s="993"/>
      <c r="G70" s="993"/>
      <c r="H70" s="993"/>
      <c r="I70" s="993"/>
      <c r="J70" s="993"/>
      <c r="K70" s="993"/>
      <c r="L70" s="993"/>
      <c r="M70" s="993"/>
      <c r="N70" s="993"/>
      <c r="O70" s="993"/>
      <c r="P70" s="993"/>
      <c r="Q70" s="993"/>
      <c r="R70" s="994" t="s">
        <v>403</v>
      </c>
      <c r="S70" s="994" t="s">
        <v>774</v>
      </c>
      <c r="T70" s="995" t="s">
        <v>917</v>
      </c>
      <c r="U70" s="526"/>
      <c r="W70" s="204"/>
      <c r="X70" s="504"/>
    </row>
    <row r="71" spans="2:24" ht="12" customHeight="1">
      <c r="B71" s="527"/>
      <c r="C71" s="528"/>
      <c r="D71" s="536"/>
      <c r="E71" s="536"/>
      <c r="F71" s="536"/>
      <c r="G71" s="536"/>
      <c r="H71" s="536"/>
      <c r="I71" s="536"/>
      <c r="J71" s="528"/>
      <c r="K71" s="528"/>
      <c r="L71" s="528"/>
      <c r="M71" s="528"/>
      <c r="N71" s="561"/>
      <c r="O71" s="561"/>
      <c r="P71" s="561"/>
      <c r="Q71" s="528"/>
      <c r="R71" s="528"/>
      <c r="S71" s="528"/>
      <c r="T71" s="528"/>
      <c r="U71" s="529"/>
      <c r="W71" s="204"/>
      <c r="X71" s="504"/>
    </row>
    <row r="72" spans="2:24" ht="24" customHeight="1">
      <c r="B72" s="527"/>
      <c r="C72" s="1729" t="s">
        <v>963</v>
      </c>
      <c r="D72" s="1608"/>
      <c r="E72" s="1608"/>
      <c r="F72" s="1608"/>
      <c r="G72" s="1608"/>
      <c r="H72" s="1608"/>
      <c r="I72" s="1608"/>
      <c r="J72" s="1608"/>
      <c r="K72" s="1608"/>
      <c r="L72" s="1608"/>
      <c r="M72" s="1608"/>
      <c r="N72" s="1608"/>
      <c r="O72" s="1608"/>
      <c r="P72" s="1608"/>
      <c r="Q72" s="1608"/>
      <c r="R72" s="996"/>
      <c r="S72" s="996"/>
      <c r="T72" s="976"/>
      <c r="U72" s="529"/>
      <c r="W72" s="204"/>
      <c r="X72" s="504"/>
    </row>
    <row r="73" spans="2:24" ht="38" customHeight="1">
      <c r="B73" s="527"/>
      <c r="C73" s="1715" t="s">
        <v>952</v>
      </c>
      <c r="D73" s="1593"/>
      <c r="E73" s="1593"/>
      <c r="F73" s="1593"/>
      <c r="G73" s="1593"/>
      <c r="H73" s="1593"/>
      <c r="I73" s="1593"/>
      <c r="J73" s="1593"/>
      <c r="K73" s="1593"/>
      <c r="L73" s="1593"/>
      <c r="M73" s="1593"/>
      <c r="N73" s="1593"/>
      <c r="O73" s="1593"/>
      <c r="P73" s="1593"/>
      <c r="Q73" s="1593"/>
      <c r="R73" s="990"/>
      <c r="S73" s="990"/>
      <c r="T73" s="972"/>
      <c r="U73" s="529"/>
      <c r="W73" s="204"/>
      <c r="X73" s="504"/>
    </row>
    <row r="74" spans="2:24" ht="24" customHeight="1">
      <c r="B74" s="527"/>
      <c r="C74" s="1714" t="s">
        <v>950</v>
      </c>
      <c r="D74" s="1593"/>
      <c r="E74" s="1593"/>
      <c r="F74" s="1593"/>
      <c r="G74" s="1593"/>
      <c r="H74" s="1593"/>
      <c r="I74" s="1593"/>
      <c r="J74" s="1593"/>
      <c r="K74" s="1593"/>
      <c r="L74" s="1593"/>
      <c r="M74" s="1593"/>
      <c r="N74" s="1593"/>
      <c r="O74" s="1593"/>
      <c r="P74" s="1593"/>
      <c r="Q74" s="1593"/>
      <c r="R74" s="990"/>
      <c r="S74" s="990"/>
      <c r="T74" s="972"/>
      <c r="U74" s="529"/>
      <c r="W74" s="204"/>
      <c r="X74" s="504"/>
    </row>
    <row r="75" spans="2:24" ht="38" customHeight="1">
      <c r="B75" s="527"/>
      <c r="C75" s="1715" t="s">
        <v>951</v>
      </c>
      <c r="D75" s="1593"/>
      <c r="E75" s="1593"/>
      <c r="F75" s="1593"/>
      <c r="G75" s="1593"/>
      <c r="H75" s="1593"/>
      <c r="I75" s="1593"/>
      <c r="J75" s="1593"/>
      <c r="K75" s="1593"/>
      <c r="L75" s="1593"/>
      <c r="M75" s="1593"/>
      <c r="N75" s="1593"/>
      <c r="O75" s="1593"/>
      <c r="P75" s="1593"/>
      <c r="Q75" s="1593"/>
      <c r="R75" s="990"/>
      <c r="S75" s="990"/>
      <c r="T75" s="972"/>
      <c r="U75" s="529"/>
      <c r="W75" s="204"/>
      <c r="X75" s="504"/>
    </row>
    <row r="76" spans="2:24" ht="54" customHeight="1">
      <c r="B76" s="527"/>
      <c r="C76" s="1710" t="s">
        <v>953</v>
      </c>
      <c r="D76" s="1595"/>
      <c r="E76" s="1595"/>
      <c r="F76" s="1595"/>
      <c r="G76" s="1595"/>
      <c r="H76" s="1595"/>
      <c r="I76" s="1595"/>
      <c r="J76" s="1595"/>
      <c r="K76" s="1595"/>
      <c r="L76" s="1595"/>
      <c r="M76" s="1595"/>
      <c r="N76" s="1595"/>
      <c r="O76" s="1595"/>
      <c r="P76" s="1595"/>
      <c r="Q76" s="1595"/>
      <c r="R76" s="991"/>
      <c r="S76" s="991"/>
      <c r="T76" s="975"/>
      <c r="U76" s="529"/>
      <c r="W76" s="204"/>
      <c r="X76" s="504"/>
    </row>
    <row r="77" spans="2:24" ht="18" customHeight="1">
      <c r="B77" s="531"/>
      <c r="C77" s="532"/>
      <c r="D77" s="543"/>
      <c r="E77" s="543"/>
      <c r="F77" s="543"/>
      <c r="G77" s="543"/>
      <c r="H77" s="543"/>
      <c r="I77" s="543"/>
      <c r="J77" s="532"/>
      <c r="K77" s="532"/>
      <c r="L77" s="532"/>
      <c r="M77" s="532"/>
      <c r="N77" s="562"/>
      <c r="O77" s="562"/>
      <c r="P77" s="562"/>
      <c r="Q77" s="532"/>
      <c r="R77" s="532"/>
      <c r="S77" s="532"/>
      <c r="T77" s="532"/>
      <c r="U77" s="533"/>
      <c r="W77" s="204"/>
      <c r="X77" s="504"/>
    </row>
    <row r="78" spans="2:24" ht="32" customHeight="1">
      <c r="B78" s="524"/>
      <c r="C78" s="992" t="s">
        <v>939</v>
      </c>
      <c r="D78" s="993"/>
      <c r="E78" s="993"/>
      <c r="F78" s="993"/>
      <c r="G78" s="993"/>
      <c r="H78" s="993"/>
      <c r="I78" s="993"/>
      <c r="J78" s="993"/>
      <c r="K78" s="993"/>
      <c r="L78" s="993"/>
      <c r="M78" s="993"/>
      <c r="N78" s="993"/>
      <c r="O78" s="993"/>
      <c r="P78" s="993"/>
      <c r="Q78" s="993"/>
      <c r="R78" s="994" t="s">
        <v>403</v>
      </c>
      <c r="S78" s="994" t="s">
        <v>774</v>
      </c>
      <c r="T78" s="995" t="s">
        <v>917</v>
      </c>
      <c r="U78" s="526"/>
      <c r="W78" s="204"/>
      <c r="X78" s="504"/>
    </row>
    <row r="79" spans="2:24" ht="12" customHeight="1">
      <c r="B79" s="527"/>
      <c r="C79" s="528"/>
      <c r="D79" s="536"/>
      <c r="E79" s="536"/>
      <c r="F79" s="536"/>
      <c r="G79" s="536"/>
      <c r="H79" s="536"/>
      <c r="I79" s="536"/>
      <c r="J79" s="528"/>
      <c r="K79" s="528"/>
      <c r="L79" s="528"/>
      <c r="M79" s="528"/>
      <c r="N79" s="561"/>
      <c r="O79" s="561"/>
      <c r="P79" s="561"/>
      <c r="Q79" s="528"/>
      <c r="R79" s="528"/>
      <c r="S79" s="528"/>
      <c r="T79" s="528"/>
      <c r="U79" s="529"/>
      <c r="W79" s="204"/>
      <c r="X79" s="504"/>
    </row>
    <row r="80" spans="2:24" ht="24" customHeight="1">
      <c r="B80" s="527"/>
      <c r="C80" s="1729" t="s">
        <v>1016</v>
      </c>
      <c r="D80" s="1608"/>
      <c r="E80" s="1608"/>
      <c r="F80" s="1608"/>
      <c r="G80" s="1608"/>
      <c r="H80" s="1608"/>
      <c r="I80" s="1608"/>
      <c r="J80" s="1608"/>
      <c r="K80" s="1608"/>
      <c r="L80" s="1608"/>
      <c r="M80" s="1608"/>
      <c r="N80" s="1608"/>
      <c r="O80" s="1608"/>
      <c r="P80" s="1608"/>
      <c r="Q80" s="1608"/>
      <c r="R80" s="996"/>
      <c r="S80" s="996"/>
      <c r="T80" s="976"/>
      <c r="U80" s="529"/>
      <c r="W80" s="204"/>
      <c r="X80" s="504"/>
    </row>
    <row r="81" spans="1:24" ht="24" customHeight="1">
      <c r="B81" s="527"/>
      <c r="C81" s="1714" t="s">
        <v>954</v>
      </c>
      <c r="D81" s="1593"/>
      <c r="E81" s="1593"/>
      <c r="F81" s="1593"/>
      <c r="G81" s="1593"/>
      <c r="H81" s="1593"/>
      <c r="I81" s="1593"/>
      <c r="J81" s="1593"/>
      <c r="K81" s="1593"/>
      <c r="L81" s="1593"/>
      <c r="M81" s="1593"/>
      <c r="N81" s="1593"/>
      <c r="O81" s="1593"/>
      <c r="P81" s="1593"/>
      <c r="Q81" s="1593"/>
      <c r="R81" s="990"/>
      <c r="S81" s="990"/>
      <c r="T81" s="972"/>
      <c r="U81" s="529"/>
      <c r="W81" s="204"/>
      <c r="X81" s="504"/>
    </row>
    <row r="82" spans="1:24" ht="24" customHeight="1">
      <c r="B82" s="527"/>
      <c r="C82" s="1714" t="s">
        <v>955</v>
      </c>
      <c r="D82" s="1593"/>
      <c r="E82" s="1593"/>
      <c r="F82" s="1593"/>
      <c r="G82" s="1593"/>
      <c r="H82" s="1593"/>
      <c r="I82" s="1593"/>
      <c r="J82" s="1593"/>
      <c r="K82" s="1593"/>
      <c r="L82" s="1593"/>
      <c r="M82" s="1593"/>
      <c r="N82" s="1593"/>
      <c r="O82" s="1593"/>
      <c r="P82" s="1593"/>
      <c r="Q82" s="1593"/>
      <c r="R82" s="990"/>
      <c r="S82" s="990"/>
      <c r="T82" s="972"/>
      <c r="U82" s="529"/>
      <c r="W82" s="204"/>
      <c r="X82" s="504"/>
    </row>
    <row r="83" spans="1:24" ht="24" customHeight="1">
      <c r="B83" s="527"/>
      <c r="C83" s="1714" t="s">
        <v>956</v>
      </c>
      <c r="D83" s="1593"/>
      <c r="E83" s="1593"/>
      <c r="F83" s="1593"/>
      <c r="G83" s="1593"/>
      <c r="H83" s="1593"/>
      <c r="I83" s="1593"/>
      <c r="J83" s="1593"/>
      <c r="K83" s="1593"/>
      <c r="L83" s="1593"/>
      <c r="M83" s="1593"/>
      <c r="N83" s="1593"/>
      <c r="O83" s="1593"/>
      <c r="P83" s="1593"/>
      <c r="Q83" s="1593"/>
      <c r="R83" s="990"/>
      <c r="S83" s="990"/>
      <c r="T83" s="972"/>
      <c r="U83" s="529"/>
      <c r="W83" s="204"/>
      <c r="X83" s="504"/>
    </row>
    <row r="84" spans="1:24" ht="38" customHeight="1">
      <c r="B84" s="527"/>
      <c r="C84" s="1715" t="s">
        <v>958</v>
      </c>
      <c r="D84" s="1593"/>
      <c r="E84" s="1593"/>
      <c r="F84" s="1593"/>
      <c r="G84" s="1593"/>
      <c r="H84" s="1593"/>
      <c r="I84" s="1593"/>
      <c r="J84" s="1593"/>
      <c r="K84" s="1593"/>
      <c r="L84" s="1593"/>
      <c r="M84" s="1593"/>
      <c r="N84" s="1593"/>
      <c r="O84" s="1593"/>
      <c r="P84" s="1593"/>
      <c r="Q84" s="1593"/>
      <c r="R84" s="990"/>
      <c r="S84" s="990"/>
      <c r="T84" s="972"/>
      <c r="U84" s="529"/>
      <c r="W84" s="204"/>
      <c r="X84" s="504"/>
    </row>
    <row r="85" spans="1:24" ht="38" customHeight="1">
      <c r="B85" s="527"/>
      <c r="C85" s="1710" t="s">
        <v>957</v>
      </c>
      <c r="D85" s="1595"/>
      <c r="E85" s="1595"/>
      <c r="F85" s="1595"/>
      <c r="G85" s="1595"/>
      <c r="H85" s="1595"/>
      <c r="I85" s="1595"/>
      <c r="J85" s="1595"/>
      <c r="K85" s="1595"/>
      <c r="L85" s="1595"/>
      <c r="M85" s="1595"/>
      <c r="N85" s="1595"/>
      <c r="O85" s="1595"/>
      <c r="P85" s="1595"/>
      <c r="Q85" s="1595"/>
      <c r="R85" s="991"/>
      <c r="S85" s="991"/>
      <c r="T85" s="975"/>
      <c r="U85" s="529"/>
      <c r="W85" s="204"/>
      <c r="X85" s="504"/>
    </row>
    <row r="86" spans="1:24" ht="12" customHeight="1">
      <c r="B86" s="531"/>
      <c r="C86" s="543"/>
      <c r="D86" s="543"/>
      <c r="E86" s="543"/>
      <c r="F86" s="543"/>
      <c r="G86" s="543"/>
      <c r="H86" s="543"/>
      <c r="I86" s="543"/>
      <c r="J86" s="543"/>
      <c r="K86" s="543"/>
      <c r="L86" s="543"/>
      <c r="M86" s="543"/>
      <c r="N86" s="543"/>
      <c r="O86" s="543"/>
      <c r="P86" s="543"/>
      <c r="Q86" s="543"/>
      <c r="R86" s="543"/>
      <c r="S86" s="543"/>
      <c r="T86" s="543"/>
      <c r="U86" s="533"/>
      <c r="W86" s="204"/>
      <c r="X86" s="504"/>
    </row>
    <row r="87" spans="1:24" ht="12" customHeight="1">
      <c r="B87" s="527"/>
      <c r="C87" s="536"/>
      <c r="D87" s="536"/>
      <c r="E87" s="536"/>
      <c r="F87" s="536"/>
      <c r="G87" s="536"/>
      <c r="H87" s="536"/>
      <c r="I87" s="536"/>
      <c r="J87" s="536"/>
      <c r="K87" s="536"/>
      <c r="L87" s="536"/>
      <c r="M87" s="536"/>
      <c r="N87" s="536"/>
      <c r="O87" s="536"/>
      <c r="P87" s="536"/>
      <c r="Q87" s="536"/>
      <c r="R87" s="536"/>
      <c r="S87" s="536"/>
      <c r="T87" s="536"/>
      <c r="U87" s="529"/>
      <c r="W87" s="204"/>
      <c r="X87" s="504"/>
    </row>
    <row r="88" spans="1:24" ht="25" customHeight="1">
      <c r="B88" s="527"/>
      <c r="C88" s="1730" t="s">
        <v>942</v>
      </c>
      <c r="D88" s="1730"/>
      <c r="E88" s="1730"/>
      <c r="F88" s="1730"/>
      <c r="G88" s="1730"/>
      <c r="H88" s="1730"/>
      <c r="I88" s="1730"/>
      <c r="J88" s="1730"/>
      <c r="K88" s="1730"/>
      <c r="L88" s="1730"/>
      <c r="M88" s="1730"/>
      <c r="N88" s="1730"/>
      <c r="O88" s="1730"/>
      <c r="P88" s="1730"/>
      <c r="Q88" s="1730"/>
      <c r="R88" s="536"/>
      <c r="S88" s="536"/>
      <c r="T88" s="536"/>
      <c r="U88" s="529"/>
      <c r="W88" s="204"/>
      <c r="X88" s="504"/>
    </row>
    <row r="89" spans="1:24" ht="20" customHeight="1" thickBot="1">
      <c r="B89" s="538"/>
      <c r="C89" s="539"/>
      <c r="D89" s="540"/>
      <c r="E89" s="540"/>
      <c r="F89" s="540"/>
      <c r="G89" s="540"/>
      <c r="H89" s="540"/>
      <c r="I89" s="540"/>
      <c r="J89" s="540"/>
      <c r="K89" s="540"/>
      <c r="L89" s="540"/>
      <c r="M89" s="540"/>
      <c r="N89" s="540"/>
      <c r="O89" s="540"/>
      <c r="P89" s="540"/>
      <c r="Q89" s="540"/>
      <c r="R89" s="540"/>
      <c r="S89" s="540"/>
      <c r="T89" s="540"/>
      <c r="U89" s="541"/>
      <c r="W89" s="204"/>
      <c r="X89" s="504"/>
    </row>
    <row r="90" spans="1:24" ht="10" customHeight="1">
      <c r="W90" s="204"/>
      <c r="X90" s="504"/>
    </row>
    <row r="91" spans="1:24" ht="5" customHeight="1">
      <c r="A91" s="204"/>
      <c r="B91" s="204"/>
      <c r="C91" s="204"/>
      <c r="D91" s="204"/>
      <c r="E91" s="204"/>
      <c r="F91" s="204"/>
      <c r="G91" s="204"/>
      <c r="H91" s="204"/>
      <c r="I91" s="204"/>
      <c r="J91" s="204"/>
      <c r="K91" s="204"/>
      <c r="L91" s="204"/>
      <c r="M91" s="204"/>
      <c r="N91" s="204"/>
      <c r="O91" s="204"/>
      <c r="P91" s="204"/>
      <c r="Q91" s="204"/>
      <c r="R91" s="204"/>
      <c r="S91" s="204"/>
      <c r="T91" s="204"/>
      <c r="U91" s="204"/>
      <c r="V91" s="204"/>
      <c r="W91" s="204"/>
      <c r="X91" s="504"/>
    </row>
    <row r="92" spans="1:24" ht="45" customHeight="1">
      <c r="A92" s="504"/>
      <c r="B92" s="504"/>
      <c r="C92" s="504"/>
      <c r="D92" s="504"/>
      <c r="E92" s="504"/>
      <c r="F92" s="1035" t="s">
        <v>701</v>
      </c>
      <c r="G92" s="1035"/>
      <c r="H92" s="1035"/>
      <c r="I92" s="1035"/>
      <c r="J92" s="1035"/>
      <c r="K92" s="1035"/>
      <c r="L92" s="1035"/>
      <c r="M92" s="1035"/>
      <c r="N92" s="1035"/>
      <c r="O92" s="1035"/>
      <c r="P92" s="1035"/>
      <c r="Q92" s="504"/>
      <c r="R92" s="504"/>
      <c r="S92" s="504"/>
      <c r="T92" s="504"/>
      <c r="U92" s="504"/>
      <c r="V92" s="504"/>
      <c r="W92" s="504"/>
      <c r="X92" s="504"/>
    </row>
    <row r="93" spans="1:24" ht="26.25" customHeight="1">
      <c r="A93" s="505"/>
      <c r="B93" s="505"/>
      <c r="C93" s="505"/>
      <c r="D93" s="505"/>
      <c r="E93" s="505"/>
      <c r="F93" s="505"/>
      <c r="G93" s="505"/>
      <c r="H93" s="505"/>
      <c r="I93" s="505"/>
      <c r="J93" s="505"/>
      <c r="K93" s="505"/>
      <c r="L93" s="505"/>
      <c r="M93" s="505"/>
      <c r="N93" s="505"/>
      <c r="O93" s="505"/>
      <c r="P93" s="505"/>
      <c r="Q93" s="505"/>
      <c r="R93" s="505"/>
      <c r="S93" s="505"/>
      <c r="T93" s="505"/>
      <c r="U93" s="505"/>
      <c r="V93" s="505"/>
      <c r="W93" s="505"/>
      <c r="X93" s="505"/>
    </row>
  </sheetData>
  <sheetProtection algorithmName="SHA-512" hashValue="SU1rCWoxOzLaqiHRlCdzryP1QsKe8IXnzidNOZRvC4diJHnONyvoQgz7Bh82kKCsPxl3Vt3G7DnF4vWtSdXEKA==" saltValue="JoVuAe08boX1TWX22C3mSw==" spinCount="100000" sheet="1" objects="1" scenarios="1"/>
  <mergeCells count="56">
    <mergeCell ref="C33:Q33"/>
    <mergeCell ref="C28:Q28"/>
    <mergeCell ref="A1:B1"/>
    <mergeCell ref="R1:T1"/>
    <mergeCell ref="Y1:AA1"/>
    <mergeCell ref="B17:U17"/>
    <mergeCell ref="C27:Q27"/>
    <mergeCell ref="F92:P92"/>
    <mergeCell ref="C80:Q80"/>
    <mergeCell ref="C81:Q81"/>
    <mergeCell ref="C84:Q84"/>
    <mergeCell ref="C85:Q85"/>
    <mergeCell ref="C82:Q82"/>
    <mergeCell ref="C88:Q88"/>
    <mergeCell ref="C83:Q83"/>
    <mergeCell ref="C72:Q72"/>
    <mergeCell ref="C73:Q73"/>
    <mergeCell ref="C75:Q75"/>
    <mergeCell ref="C76:Q76"/>
    <mergeCell ref="C74:Q74"/>
    <mergeCell ref="C67:Q67"/>
    <mergeCell ref="C68:Q68"/>
    <mergeCell ref="C22:Q22"/>
    <mergeCell ref="C23:Q23"/>
    <mergeCell ref="C24:Q24"/>
    <mergeCell ref="C25:Q25"/>
    <mergeCell ref="C26:Q26"/>
    <mergeCell ref="C40:Q40"/>
    <mergeCell ref="C41:Q41"/>
    <mergeCell ref="C29:Q29"/>
    <mergeCell ref="C31:Q31"/>
    <mergeCell ref="C32:Q32"/>
    <mergeCell ref="C34:Q34"/>
    <mergeCell ref="C35:Q35"/>
    <mergeCell ref="C36:Q36"/>
    <mergeCell ref="C38:Q38"/>
    <mergeCell ref="C39:Q39"/>
    <mergeCell ref="C62:Q62"/>
    <mergeCell ref="C63:Q63"/>
    <mergeCell ref="C64:Q64"/>
    <mergeCell ref="C55:Q55"/>
    <mergeCell ref="C65:Q65"/>
    <mergeCell ref="C43:Q43"/>
    <mergeCell ref="C44:Q44"/>
    <mergeCell ref="C45:Q45"/>
    <mergeCell ref="C46:Q46"/>
    <mergeCell ref="C47:Q47"/>
    <mergeCell ref="C56:Q56"/>
    <mergeCell ref="C57:Q57"/>
    <mergeCell ref="C58:Q58"/>
    <mergeCell ref="C59:Q59"/>
    <mergeCell ref="C60:Q60"/>
    <mergeCell ref="C48:Q48"/>
    <mergeCell ref="C49:Q49"/>
    <mergeCell ref="C50:Q50"/>
    <mergeCell ref="C54:Q54"/>
  </mergeCells>
  <conditionalFormatting sqref="A1:Q1">
    <cfRule type="expression" dxfId="24" priority="17">
      <formula>OR(VA_FEHLER_AB&gt;0,VA_FEHLER_C&gt;0)</formula>
    </cfRule>
  </conditionalFormatting>
  <conditionalFormatting sqref="Y1">
    <cfRule type="expression" dxfId="18" priority="10">
      <formula>V_ARBEIT=0</formula>
    </cfRule>
  </conditionalFormatting>
  <dataValidations count="1">
    <dataValidation type="textLength" operator="lessThanOrEqual" allowBlank="1" showInputMessage="1" showErrorMessage="1" errorTitle="Eingabefehler" error="Es sind maximal 40 Zeichen (inkl. Leerzeichen) erlaubt." sqref="R43:S43 R38:S38 R31:S31 R22:S28 R54:S54 R62:S62 R67:S67" xr:uid="{3A2C366B-37DE-4146-B81D-45255FD398E8}">
      <formula1>40</formula1>
    </dataValidation>
  </dataValidations>
  <printOptions horizontalCentered="1"/>
  <pageMargins left="0.70866141732283472" right="0.70866141732283472" top="0.78740157480314965" bottom="0.78740157480314965" header="0.39370078740157483" footer="0.27559055118110237"/>
  <pageSetup paperSize="9" scale="49" orientation="portrait" errors="blank" r:id="rId1"/>
  <headerFooter scaleWithDoc="0">
    <oddHeader>&amp;L&amp;13Checkliste 2: Begleitmaßnahmen&amp;R&amp;G</oddHeader>
    <oddFooter>&amp;L&amp;G&amp;C&amp;6&amp;U&amp;K02+000Infostelle Fahrradparken&amp;18&amp;U&amp;K01+000
&amp;9https://radparken.info&amp;R&amp;KA5A5A5&amp;"Calibri"&amp;6Druck am: &amp;D
Tabellenreiter: &amp;A
Version: 3.6 (08.01.2025)</oddFooter>
  </headerFooter>
  <colBreaks count="1" manualBreakCount="1">
    <brk id="2"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3" r:id="rId5" name="Check Box 1">
              <controlPr defaultSize="0" autoFill="0" autoLine="0" autoPict="0">
                <anchor moveWithCells="1" sizeWithCells="1">
                  <from>
                    <xdr:col>17</xdr:col>
                    <xdr:colOff>215900</xdr:colOff>
                    <xdr:row>22</xdr:row>
                    <xdr:rowOff>0</xdr:rowOff>
                  </from>
                  <to>
                    <xdr:col>17</xdr:col>
                    <xdr:colOff>431800</xdr:colOff>
                    <xdr:row>23</xdr:row>
                    <xdr:rowOff>0</xdr:rowOff>
                  </to>
                </anchor>
              </controlPr>
            </control>
          </mc:Choice>
        </mc:AlternateContent>
        <mc:AlternateContent xmlns:mc="http://schemas.openxmlformats.org/markup-compatibility/2006">
          <mc:Choice Requires="x14">
            <control shapeId="8194" r:id="rId6" name="Check Box 2">
              <controlPr defaultSize="0" autoFill="0" autoLine="0" autoPict="0">
                <anchor moveWithCells="1" sizeWithCells="1">
                  <from>
                    <xdr:col>18</xdr:col>
                    <xdr:colOff>215900</xdr:colOff>
                    <xdr:row>22</xdr:row>
                    <xdr:rowOff>0</xdr:rowOff>
                  </from>
                  <to>
                    <xdr:col>18</xdr:col>
                    <xdr:colOff>431800</xdr:colOff>
                    <xdr:row>23</xdr:row>
                    <xdr:rowOff>0</xdr:rowOff>
                  </to>
                </anchor>
              </controlPr>
            </control>
          </mc:Choice>
        </mc:AlternateContent>
        <mc:AlternateContent xmlns:mc="http://schemas.openxmlformats.org/markup-compatibility/2006">
          <mc:Choice Requires="x14">
            <control shapeId="8195" r:id="rId7" name="Check Box 3">
              <controlPr defaultSize="0" autoFill="0" autoLine="0" autoPict="0">
                <anchor moveWithCells="1" sizeWithCells="1">
                  <from>
                    <xdr:col>19</xdr:col>
                    <xdr:colOff>215900</xdr:colOff>
                    <xdr:row>22</xdr:row>
                    <xdr:rowOff>0</xdr:rowOff>
                  </from>
                  <to>
                    <xdr:col>19</xdr:col>
                    <xdr:colOff>431800</xdr:colOff>
                    <xdr:row>23</xdr:row>
                    <xdr:rowOff>0</xdr:rowOff>
                  </to>
                </anchor>
              </controlPr>
            </control>
          </mc:Choice>
        </mc:AlternateContent>
        <mc:AlternateContent xmlns:mc="http://schemas.openxmlformats.org/markup-compatibility/2006">
          <mc:Choice Requires="x14">
            <control shapeId="8196" r:id="rId8" name="Check Box 4">
              <controlPr defaultSize="0" autoFill="0" autoLine="0" autoPict="0">
                <anchor moveWithCells="1" sizeWithCells="1">
                  <from>
                    <xdr:col>17</xdr:col>
                    <xdr:colOff>215900</xdr:colOff>
                    <xdr:row>23</xdr:row>
                    <xdr:rowOff>0</xdr:rowOff>
                  </from>
                  <to>
                    <xdr:col>17</xdr:col>
                    <xdr:colOff>431800</xdr:colOff>
                    <xdr:row>24</xdr:row>
                    <xdr:rowOff>0</xdr:rowOff>
                  </to>
                </anchor>
              </controlPr>
            </control>
          </mc:Choice>
        </mc:AlternateContent>
        <mc:AlternateContent xmlns:mc="http://schemas.openxmlformats.org/markup-compatibility/2006">
          <mc:Choice Requires="x14">
            <control shapeId="8197" r:id="rId9" name="Check Box 5">
              <controlPr defaultSize="0" autoFill="0" autoLine="0" autoPict="0">
                <anchor moveWithCells="1" sizeWithCells="1">
                  <from>
                    <xdr:col>18</xdr:col>
                    <xdr:colOff>215900</xdr:colOff>
                    <xdr:row>23</xdr:row>
                    <xdr:rowOff>0</xdr:rowOff>
                  </from>
                  <to>
                    <xdr:col>18</xdr:col>
                    <xdr:colOff>431800</xdr:colOff>
                    <xdr:row>24</xdr:row>
                    <xdr:rowOff>0</xdr:rowOff>
                  </to>
                </anchor>
              </controlPr>
            </control>
          </mc:Choice>
        </mc:AlternateContent>
        <mc:AlternateContent xmlns:mc="http://schemas.openxmlformats.org/markup-compatibility/2006">
          <mc:Choice Requires="x14">
            <control shapeId="8198" r:id="rId10" name="Check Box 6">
              <controlPr defaultSize="0" autoFill="0" autoLine="0" autoPict="0">
                <anchor moveWithCells="1" sizeWithCells="1">
                  <from>
                    <xdr:col>19</xdr:col>
                    <xdr:colOff>215900</xdr:colOff>
                    <xdr:row>23</xdr:row>
                    <xdr:rowOff>0</xdr:rowOff>
                  </from>
                  <to>
                    <xdr:col>19</xdr:col>
                    <xdr:colOff>431800</xdr:colOff>
                    <xdr:row>24</xdr:row>
                    <xdr:rowOff>0</xdr:rowOff>
                  </to>
                </anchor>
              </controlPr>
            </control>
          </mc:Choice>
        </mc:AlternateContent>
        <mc:AlternateContent xmlns:mc="http://schemas.openxmlformats.org/markup-compatibility/2006">
          <mc:Choice Requires="x14">
            <control shapeId="8199" r:id="rId11" name="Check Box 7">
              <controlPr defaultSize="0" autoFill="0" autoLine="0" autoPict="0">
                <anchor moveWithCells="1" sizeWithCells="1">
                  <from>
                    <xdr:col>17</xdr:col>
                    <xdr:colOff>215900</xdr:colOff>
                    <xdr:row>24</xdr:row>
                    <xdr:rowOff>0</xdr:rowOff>
                  </from>
                  <to>
                    <xdr:col>17</xdr:col>
                    <xdr:colOff>431800</xdr:colOff>
                    <xdr:row>25</xdr:row>
                    <xdr:rowOff>0</xdr:rowOff>
                  </to>
                </anchor>
              </controlPr>
            </control>
          </mc:Choice>
        </mc:AlternateContent>
        <mc:AlternateContent xmlns:mc="http://schemas.openxmlformats.org/markup-compatibility/2006">
          <mc:Choice Requires="x14">
            <control shapeId="8200" r:id="rId12" name="Check Box 8">
              <controlPr defaultSize="0" autoFill="0" autoLine="0" autoPict="0">
                <anchor moveWithCells="1" sizeWithCells="1">
                  <from>
                    <xdr:col>18</xdr:col>
                    <xdr:colOff>215900</xdr:colOff>
                    <xdr:row>24</xdr:row>
                    <xdr:rowOff>0</xdr:rowOff>
                  </from>
                  <to>
                    <xdr:col>18</xdr:col>
                    <xdr:colOff>431800</xdr:colOff>
                    <xdr:row>25</xdr:row>
                    <xdr:rowOff>0</xdr:rowOff>
                  </to>
                </anchor>
              </controlPr>
            </control>
          </mc:Choice>
        </mc:AlternateContent>
        <mc:AlternateContent xmlns:mc="http://schemas.openxmlformats.org/markup-compatibility/2006">
          <mc:Choice Requires="x14">
            <control shapeId="8201" r:id="rId13" name="Check Box 9">
              <controlPr defaultSize="0" autoFill="0" autoLine="0" autoPict="0">
                <anchor moveWithCells="1" sizeWithCells="1">
                  <from>
                    <xdr:col>19</xdr:col>
                    <xdr:colOff>215900</xdr:colOff>
                    <xdr:row>24</xdr:row>
                    <xdr:rowOff>0</xdr:rowOff>
                  </from>
                  <to>
                    <xdr:col>19</xdr:col>
                    <xdr:colOff>431800</xdr:colOff>
                    <xdr:row>25</xdr:row>
                    <xdr:rowOff>0</xdr:rowOff>
                  </to>
                </anchor>
              </controlPr>
            </control>
          </mc:Choice>
        </mc:AlternateContent>
        <mc:AlternateContent xmlns:mc="http://schemas.openxmlformats.org/markup-compatibility/2006">
          <mc:Choice Requires="x14">
            <control shapeId="8202" r:id="rId14" name="Check Box 10">
              <controlPr defaultSize="0" autoFill="0" autoLine="0" autoPict="0">
                <anchor moveWithCells="1" sizeWithCells="1">
                  <from>
                    <xdr:col>17</xdr:col>
                    <xdr:colOff>215900</xdr:colOff>
                    <xdr:row>25</xdr:row>
                    <xdr:rowOff>0</xdr:rowOff>
                  </from>
                  <to>
                    <xdr:col>17</xdr:col>
                    <xdr:colOff>431800</xdr:colOff>
                    <xdr:row>26</xdr:row>
                    <xdr:rowOff>0</xdr:rowOff>
                  </to>
                </anchor>
              </controlPr>
            </control>
          </mc:Choice>
        </mc:AlternateContent>
        <mc:AlternateContent xmlns:mc="http://schemas.openxmlformats.org/markup-compatibility/2006">
          <mc:Choice Requires="x14">
            <control shapeId="8203" r:id="rId15" name="Check Box 11">
              <controlPr defaultSize="0" autoFill="0" autoLine="0" autoPict="0">
                <anchor moveWithCells="1" sizeWithCells="1">
                  <from>
                    <xdr:col>18</xdr:col>
                    <xdr:colOff>215900</xdr:colOff>
                    <xdr:row>25</xdr:row>
                    <xdr:rowOff>0</xdr:rowOff>
                  </from>
                  <to>
                    <xdr:col>18</xdr:col>
                    <xdr:colOff>431800</xdr:colOff>
                    <xdr:row>26</xdr:row>
                    <xdr:rowOff>0</xdr:rowOff>
                  </to>
                </anchor>
              </controlPr>
            </control>
          </mc:Choice>
        </mc:AlternateContent>
        <mc:AlternateContent xmlns:mc="http://schemas.openxmlformats.org/markup-compatibility/2006">
          <mc:Choice Requires="x14">
            <control shapeId="8204" r:id="rId16" name="Check Box 12">
              <controlPr defaultSize="0" autoFill="0" autoLine="0" autoPict="0">
                <anchor moveWithCells="1" sizeWithCells="1">
                  <from>
                    <xdr:col>19</xdr:col>
                    <xdr:colOff>215900</xdr:colOff>
                    <xdr:row>25</xdr:row>
                    <xdr:rowOff>0</xdr:rowOff>
                  </from>
                  <to>
                    <xdr:col>19</xdr:col>
                    <xdr:colOff>431800</xdr:colOff>
                    <xdr:row>26</xdr:row>
                    <xdr:rowOff>0</xdr:rowOff>
                  </to>
                </anchor>
              </controlPr>
            </control>
          </mc:Choice>
        </mc:AlternateContent>
        <mc:AlternateContent xmlns:mc="http://schemas.openxmlformats.org/markup-compatibility/2006">
          <mc:Choice Requires="x14">
            <control shapeId="8205" r:id="rId17" name="Check Box 13">
              <controlPr defaultSize="0" autoFill="0" autoLine="0" autoPict="0">
                <anchor moveWithCells="1" sizeWithCells="1">
                  <from>
                    <xdr:col>17</xdr:col>
                    <xdr:colOff>215900</xdr:colOff>
                    <xdr:row>26</xdr:row>
                    <xdr:rowOff>0</xdr:rowOff>
                  </from>
                  <to>
                    <xdr:col>17</xdr:col>
                    <xdr:colOff>431800</xdr:colOff>
                    <xdr:row>27</xdr:row>
                    <xdr:rowOff>0</xdr:rowOff>
                  </to>
                </anchor>
              </controlPr>
            </control>
          </mc:Choice>
        </mc:AlternateContent>
        <mc:AlternateContent xmlns:mc="http://schemas.openxmlformats.org/markup-compatibility/2006">
          <mc:Choice Requires="x14">
            <control shapeId="8206" r:id="rId18" name="Check Box 14">
              <controlPr defaultSize="0" autoFill="0" autoLine="0" autoPict="0">
                <anchor moveWithCells="1" sizeWithCells="1">
                  <from>
                    <xdr:col>18</xdr:col>
                    <xdr:colOff>215900</xdr:colOff>
                    <xdr:row>26</xdr:row>
                    <xdr:rowOff>0</xdr:rowOff>
                  </from>
                  <to>
                    <xdr:col>18</xdr:col>
                    <xdr:colOff>431800</xdr:colOff>
                    <xdr:row>27</xdr:row>
                    <xdr:rowOff>0</xdr:rowOff>
                  </to>
                </anchor>
              </controlPr>
            </control>
          </mc:Choice>
        </mc:AlternateContent>
        <mc:AlternateContent xmlns:mc="http://schemas.openxmlformats.org/markup-compatibility/2006">
          <mc:Choice Requires="x14">
            <control shapeId="8207" r:id="rId19" name="Check Box 15">
              <controlPr defaultSize="0" autoFill="0" autoLine="0" autoPict="0">
                <anchor moveWithCells="1" sizeWithCells="1">
                  <from>
                    <xdr:col>19</xdr:col>
                    <xdr:colOff>215900</xdr:colOff>
                    <xdr:row>26</xdr:row>
                    <xdr:rowOff>0</xdr:rowOff>
                  </from>
                  <to>
                    <xdr:col>19</xdr:col>
                    <xdr:colOff>431800</xdr:colOff>
                    <xdr:row>27</xdr:row>
                    <xdr:rowOff>0</xdr:rowOff>
                  </to>
                </anchor>
              </controlPr>
            </control>
          </mc:Choice>
        </mc:AlternateContent>
        <mc:AlternateContent xmlns:mc="http://schemas.openxmlformats.org/markup-compatibility/2006">
          <mc:Choice Requires="x14">
            <control shapeId="8208" r:id="rId20" name="Check Box 16">
              <controlPr defaultSize="0" autoFill="0" autoLine="0" autoPict="0">
                <anchor moveWithCells="1" sizeWithCells="1">
                  <from>
                    <xdr:col>17</xdr:col>
                    <xdr:colOff>215900</xdr:colOff>
                    <xdr:row>27</xdr:row>
                    <xdr:rowOff>0</xdr:rowOff>
                  </from>
                  <to>
                    <xdr:col>17</xdr:col>
                    <xdr:colOff>431800</xdr:colOff>
                    <xdr:row>28</xdr:row>
                    <xdr:rowOff>0</xdr:rowOff>
                  </to>
                </anchor>
              </controlPr>
            </control>
          </mc:Choice>
        </mc:AlternateContent>
        <mc:AlternateContent xmlns:mc="http://schemas.openxmlformats.org/markup-compatibility/2006">
          <mc:Choice Requires="x14">
            <control shapeId="8209" r:id="rId21" name="Check Box 17">
              <controlPr defaultSize="0" autoFill="0" autoLine="0" autoPict="0">
                <anchor moveWithCells="1" sizeWithCells="1">
                  <from>
                    <xdr:col>18</xdr:col>
                    <xdr:colOff>215900</xdr:colOff>
                    <xdr:row>27</xdr:row>
                    <xdr:rowOff>0</xdr:rowOff>
                  </from>
                  <to>
                    <xdr:col>18</xdr:col>
                    <xdr:colOff>431800</xdr:colOff>
                    <xdr:row>28</xdr:row>
                    <xdr:rowOff>0</xdr:rowOff>
                  </to>
                </anchor>
              </controlPr>
            </control>
          </mc:Choice>
        </mc:AlternateContent>
        <mc:AlternateContent xmlns:mc="http://schemas.openxmlformats.org/markup-compatibility/2006">
          <mc:Choice Requires="x14">
            <control shapeId="8210" r:id="rId22" name="Check Box 18">
              <controlPr defaultSize="0" autoFill="0" autoLine="0" autoPict="0">
                <anchor moveWithCells="1" sizeWithCells="1">
                  <from>
                    <xdr:col>19</xdr:col>
                    <xdr:colOff>215900</xdr:colOff>
                    <xdr:row>27</xdr:row>
                    <xdr:rowOff>0</xdr:rowOff>
                  </from>
                  <to>
                    <xdr:col>19</xdr:col>
                    <xdr:colOff>431800</xdr:colOff>
                    <xdr:row>28</xdr:row>
                    <xdr:rowOff>0</xdr:rowOff>
                  </to>
                </anchor>
              </controlPr>
            </control>
          </mc:Choice>
        </mc:AlternateContent>
        <mc:AlternateContent xmlns:mc="http://schemas.openxmlformats.org/markup-compatibility/2006">
          <mc:Choice Requires="x14">
            <control shapeId="8211" r:id="rId23" name="Check Box 19">
              <controlPr defaultSize="0" autoFill="0" autoLine="0" autoPict="0">
                <anchor moveWithCells="1" sizeWithCells="1">
                  <from>
                    <xdr:col>17</xdr:col>
                    <xdr:colOff>215900</xdr:colOff>
                    <xdr:row>28</xdr:row>
                    <xdr:rowOff>0</xdr:rowOff>
                  </from>
                  <to>
                    <xdr:col>17</xdr:col>
                    <xdr:colOff>431800</xdr:colOff>
                    <xdr:row>29</xdr:row>
                    <xdr:rowOff>0</xdr:rowOff>
                  </to>
                </anchor>
              </controlPr>
            </control>
          </mc:Choice>
        </mc:AlternateContent>
        <mc:AlternateContent xmlns:mc="http://schemas.openxmlformats.org/markup-compatibility/2006">
          <mc:Choice Requires="x14">
            <control shapeId="8212" r:id="rId24" name="Check Box 20">
              <controlPr defaultSize="0" autoFill="0" autoLine="0" autoPict="0">
                <anchor moveWithCells="1" sizeWithCells="1">
                  <from>
                    <xdr:col>18</xdr:col>
                    <xdr:colOff>215900</xdr:colOff>
                    <xdr:row>28</xdr:row>
                    <xdr:rowOff>0</xdr:rowOff>
                  </from>
                  <to>
                    <xdr:col>18</xdr:col>
                    <xdr:colOff>431800</xdr:colOff>
                    <xdr:row>29</xdr:row>
                    <xdr:rowOff>0</xdr:rowOff>
                  </to>
                </anchor>
              </controlPr>
            </control>
          </mc:Choice>
        </mc:AlternateContent>
        <mc:AlternateContent xmlns:mc="http://schemas.openxmlformats.org/markup-compatibility/2006">
          <mc:Choice Requires="x14">
            <control shapeId="8213" r:id="rId25" name="Check Box 21">
              <controlPr defaultSize="0" autoFill="0" autoLine="0" autoPict="0">
                <anchor moveWithCells="1" sizeWithCells="1">
                  <from>
                    <xdr:col>19</xdr:col>
                    <xdr:colOff>215900</xdr:colOff>
                    <xdr:row>28</xdr:row>
                    <xdr:rowOff>0</xdr:rowOff>
                  </from>
                  <to>
                    <xdr:col>19</xdr:col>
                    <xdr:colOff>431800</xdr:colOff>
                    <xdr:row>29</xdr:row>
                    <xdr:rowOff>0</xdr:rowOff>
                  </to>
                </anchor>
              </controlPr>
            </control>
          </mc:Choice>
        </mc:AlternateContent>
        <mc:AlternateContent xmlns:mc="http://schemas.openxmlformats.org/markup-compatibility/2006">
          <mc:Choice Requires="x14">
            <control shapeId="8214" r:id="rId26" name="Check Box 22">
              <controlPr defaultSize="0" autoFill="0" autoLine="0" autoPict="0">
                <anchor moveWithCells="1" sizeWithCells="1">
                  <from>
                    <xdr:col>17</xdr:col>
                    <xdr:colOff>215900</xdr:colOff>
                    <xdr:row>31</xdr:row>
                    <xdr:rowOff>0</xdr:rowOff>
                  </from>
                  <to>
                    <xdr:col>17</xdr:col>
                    <xdr:colOff>431800</xdr:colOff>
                    <xdr:row>32</xdr:row>
                    <xdr:rowOff>0</xdr:rowOff>
                  </to>
                </anchor>
              </controlPr>
            </control>
          </mc:Choice>
        </mc:AlternateContent>
        <mc:AlternateContent xmlns:mc="http://schemas.openxmlformats.org/markup-compatibility/2006">
          <mc:Choice Requires="x14">
            <control shapeId="8215" r:id="rId27" name="Check Box 23">
              <controlPr defaultSize="0" autoFill="0" autoLine="0" autoPict="0">
                <anchor moveWithCells="1" sizeWithCells="1">
                  <from>
                    <xdr:col>18</xdr:col>
                    <xdr:colOff>215900</xdr:colOff>
                    <xdr:row>31</xdr:row>
                    <xdr:rowOff>0</xdr:rowOff>
                  </from>
                  <to>
                    <xdr:col>18</xdr:col>
                    <xdr:colOff>431800</xdr:colOff>
                    <xdr:row>32</xdr:row>
                    <xdr:rowOff>0</xdr:rowOff>
                  </to>
                </anchor>
              </controlPr>
            </control>
          </mc:Choice>
        </mc:AlternateContent>
        <mc:AlternateContent xmlns:mc="http://schemas.openxmlformats.org/markup-compatibility/2006">
          <mc:Choice Requires="x14">
            <control shapeId="8216" r:id="rId28" name="Check Box 24">
              <controlPr defaultSize="0" autoFill="0" autoLine="0" autoPict="0">
                <anchor moveWithCells="1" sizeWithCells="1">
                  <from>
                    <xdr:col>19</xdr:col>
                    <xdr:colOff>215900</xdr:colOff>
                    <xdr:row>31</xdr:row>
                    <xdr:rowOff>0</xdr:rowOff>
                  </from>
                  <to>
                    <xdr:col>19</xdr:col>
                    <xdr:colOff>431800</xdr:colOff>
                    <xdr:row>32</xdr:row>
                    <xdr:rowOff>0</xdr:rowOff>
                  </to>
                </anchor>
              </controlPr>
            </control>
          </mc:Choice>
        </mc:AlternateContent>
        <mc:AlternateContent xmlns:mc="http://schemas.openxmlformats.org/markup-compatibility/2006">
          <mc:Choice Requires="x14">
            <control shapeId="8217" r:id="rId29" name="Check Box 25">
              <controlPr defaultSize="0" autoFill="0" autoLine="0" autoPict="0">
                <anchor moveWithCells="1" sizeWithCells="1">
                  <from>
                    <xdr:col>17</xdr:col>
                    <xdr:colOff>215900</xdr:colOff>
                    <xdr:row>33</xdr:row>
                    <xdr:rowOff>0</xdr:rowOff>
                  </from>
                  <to>
                    <xdr:col>17</xdr:col>
                    <xdr:colOff>431800</xdr:colOff>
                    <xdr:row>34</xdr:row>
                    <xdr:rowOff>0</xdr:rowOff>
                  </to>
                </anchor>
              </controlPr>
            </control>
          </mc:Choice>
        </mc:AlternateContent>
        <mc:AlternateContent xmlns:mc="http://schemas.openxmlformats.org/markup-compatibility/2006">
          <mc:Choice Requires="x14">
            <control shapeId="8218" r:id="rId30" name="Check Box 26">
              <controlPr defaultSize="0" autoFill="0" autoLine="0" autoPict="0">
                <anchor moveWithCells="1" sizeWithCells="1">
                  <from>
                    <xdr:col>18</xdr:col>
                    <xdr:colOff>215900</xdr:colOff>
                    <xdr:row>33</xdr:row>
                    <xdr:rowOff>0</xdr:rowOff>
                  </from>
                  <to>
                    <xdr:col>18</xdr:col>
                    <xdr:colOff>431800</xdr:colOff>
                    <xdr:row>34</xdr:row>
                    <xdr:rowOff>0</xdr:rowOff>
                  </to>
                </anchor>
              </controlPr>
            </control>
          </mc:Choice>
        </mc:AlternateContent>
        <mc:AlternateContent xmlns:mc="http://schemas.openxmlformats.org/markup-compatibility/2006">
          <mc:Choice Requires="x14">
            <control shapeId="8219" r:id="rId31" name="Check Box 27">
              <controlPr defaultSize="0" autoFill="0" autoLine="0" autoPict="0">
                <anchor moveWithCells="1" sizeWithCells="1">
                  <from>
                    <xdr:col>19</xdr:col>
                    <xdr:colOff>215900</xdr:colOff>
                    <xdr:row>33</xdr:row>
                    <xdr:rowOff>0</xdr:rowOff>
                  </from>
                  <to>
                    <xdr:col>19</xdr:col>
                    <xdr:colOff>431800</xdr:colOff>
                    <xdr:row>34</xdr:row>
                    <xdr:rowOff>0</xdr:rowOff>
                  </to>
                </anchor>
              </controlPr>
            </control>
          </mc:Choice>
        </mc:AlternateContent>
        <mc:AlternateContent xmlns:mc="http://schemas.openxmlformats.org/markup-compatibility/2006">
          <mc:Choice Requires="x14">
            <control shapeId="8220" r:id="rId32" name="Check Box 28">
              <controlPr defaultSize="0" autoFill="0" autoLine="0" autoPict="0">
                <anchor moveWithCells="1" sizeWithCells="1">
                  <from>
                    <xdr:col>17</xdr:col>
                    <xdr:colOff>215900</xdr:colOff>
                    <xdr:row>34</xdr:row>
                    <xdr:rowOff>0</xdr:rowOff>
                  </from>
                  <to>
                    <xdr:col>17</xdr:col>
                    <xdr:colOff>431800</xdr:colOff>
                    <xdr:row>35</xdr:row>
                    <xdr:rowOff>0</xdr:rowOff>
                  </to>
                </anchor>
              </controlPr>
            </control>
          </mc:Choice>
        </mc:AlternateContent>
        <mc:AlternateContent xmlns:mc="http://schemas.openxmlformats.org/markup-compatibility/2006">
          <mc:Choice Requires="x14">
            <control shapeId="8221" r:id="rId33" name="Check Box 29">
              <controlPr defaultSize="0" autoFill="0" autoLine="0" autoPict="0">
                <anchor moveWithCells="1" sizeWithCells="1">
                  <from>
                    <xdr:col>18</xdr:col>
                    <xdr:colOff>215900</xdr:colOff>
                    <xdr:row>34</xdr:row>
                    <xdr:rowOff>0</xdr:rowOff>
                  </from>
                  <to>
                    <xdr:col>18</xdr:col>
                    <xdr:colOff>431800</xdr:colOff>
                    <xdr:row>35</xdr:row>
                    <xdr:rowOff>0</xdr:rowOff>
                  </to>
                </anchor>
              </controlPr>
            </control>
          </mc:Choice>
        </mc:AlternateContent>
        <mc:AlternateContent xmlns:mc="http://schemas.openxmlformats.org/markup-compatibility/2006">
          <mc:Choice Requires="x14">
            <control shapeId="8222" r:id="rId34" name="Check Box 30">
              <controlPr defaultSize="0" autoFill="0" autoLine="0" autoPict="0">
                <anchor moveWithCells="1" sizeWithCells="1">
                  <from>
                    <xdr:col>19</xdr:col>
                    <xdr:colOff>215900</xdr:colOff>
                    <xdr:row>34</xdr:row>
                    <xdr:rowOff>0</xdr:rowOff>
                  </from>
                  <to>
                    <xdr:col>19</xdr:col>
                    <xdr:colOff>431800</xdr:colOff>
                    <xdr:row>35</xdr:row>
                    <xdr:rowOff>0</xdr:rowOff>
                  </to>
                </anchor>
              </controlPr>
            </control>
          </mc:Choice>
        </mc:AlternateContent>
        <mc:AlternateContent xmlns:mc="http://schemas.openxmlformats.org/markup-compatibility/2006">
          <mc:Choice Requires="x14">
            <control shapeId="8223" r:id="rId35" name="Check Box 31">
              <controlPr defaultSize="0" autoFill="0" autoLine="0" autoPict="0">
                <anchor moveWithCells="1" sizeWithCells="1">
                  <from>
                    <xdr:col>17</xdr:col>
                    <xdr:colOff>215900</xdr:colOff>
                    <xdr:row>35</xdr:row>
                    <xdr:rowOff>0</xdr:rowOff>
                  </from>
                  <to>
                    <xdr:col>17</xdr:col>
                    <xdr:colOff>431800</xdr:colOff>
                    <xdr:row>36</xdr:row>
                    <xdr:rowOff>0</xdr:rowOff>
                  </to>
                </anchor>
              </controlPr>
            </control>
          </mc:Choice>
        </mc:AlternateContent>
        <mc:AlternateContent xmlns:mc="http://schemas.openxmlformats.org/markup-compatibility/2006">
          <mc:Choice Requires="x14">
            <control shapeId="8224" r:id="rId36" name="Check Box 32">
              <controlPr defaultSize="0" autoFill="0" autoLine="0" autoPict="0">
                <anchor moveWithCells="1" sizeWithCells="1">
                  <from>
                    <xdr:col>18</xdr:col>
                    <xdr:colOff>215900</xdr:colOff>
                    <xdr:row>35</xdr:row>
                    <xdr:rowOff>0</xdr:rowOff>
                  </from>
                  <to>
                    <xdr:col>18</xdr:col>
                    <xdr:colOff>431800</xdr:colOff>
                    <xdr:row>36</xdr:row>
                    <xdr:rowOff>0</xdr:rowOff>
                  </to>
                </anchor>
              </controlPr>
            </control>
          </mc:Choice>
        </mc:AlternateContent>
        <mc:AlternateContent xmlns:mc="http://schemas.openxmlformats.org/markup-compatibility/2006">
          <mc:Choice Requires="x14">
            <control shapeId="8225" r:id="rId37" name="Check Box 33">
              <controlPr defaultSize="0" autoFill="0" autoLine="0" autoPict="0">
                <anchor moveWithCells="1" sizeWithCells="1">
                  <from>
                    <xdr:col>19</xdr:col>
                    <xdr:colOff>215900</xdr:colOff>
                    <xdr:row>35</xdr:row>
                    <xdr:rowOff>0</xdr:rowOff>
                  </from>
                  <to>
                    <xdr:col>19</xdr:col>
                    <xdr:colOff>431800</xdr:colOff>
                    <xdr:row>36</xdr:row>
                    <xdr:rowOff>0</xdr:rowOff>
                  </to>
                </anchor>
              </controlPr>
            </control>
          </mc:Choice>
        </mc:AlternateContent>
        <mc:AlternateContent xmlns:mc="http://schemas.openxmlformats.org/markup-compatibility/2006">
          <mc:Choice Requires="x14">
            <control shapeId="8229" r:id="rId38" name="Check Box 37">
              <controlPr defaultSize="0" autoFill="0" autoLine="0" autoPict="0">
                <anchor moveWithCells="1" sizeWithCells="1">
                  <from>
                    <xdr:col>17</xdr:col>
                    <xdr:colOff>215900</xdr:colOff>
                    <xdr:row>38</xdr:row>
                    <xdr:rowOff>0</xdr:rowOff>
                  </from>
                  <to>
                    <xdr:col>17</xdr:col>
                    <xdr:colOff>431800</xdr:colOff>
                    <xdr:row>39</xdr:row>
                    <xdr:rowOff>0</xdr:rowOff>
                  </to>
                </anchor>
              </controlPr>
            </control>
          </mc:Choice>
        </mc:AlternateContent>
        <mc:AlternateContent xmlns:mc="http://schemas.openxmlformats.org/markup-compatibility/2006">
          <mc:Choice Requires="x14">
            <control shapeId="8230" r:id="rId39" name="Check Box 38">
              <controlPr defaultSize="0" autoFill="0" autoLine="0" autoPict="0">
                <anchor moveWithCells="1" sizeWithCells="1">
                  <from>
                    <xdr:col>18</xdr:col>
                    <xdr:colOff>215900</xdr:colOff>
                    <xdr:row>38</xdr:row>
                    <xdr:rowOff>0</xdr:rowOff>
                  </from>
                  <to>
                    <xdr:col>18</xdr:col>
                    <xdr:colOff>431800</xdr:colOff>
                    <xdr:row>39</xdr:row>
                    <xdr:rowOff>0</xdr:rowOff>
                  </to>
                </anchor>
              </controlPr>
            </control>
          </mc:Choice>
        </mc:AlternateContent>
        <mc:AlternateContent xmlns:mc="http://schemas.openxmlformats.org/markup-compatibility/2006">
          <mc:Choice Requires="x14">
            <control shapeId="8231" r:id="rId40" name="Check Box 39">
              <controlPr defaultSize="0" autoFill="0" autoLine="0" autoPict="0">
                <anchor moveWithCells="1" sizeWithCells="1">
                  <from>
                    <xdr:col>19</xdr:col>
                    <xdr:colOff>215900</xdr:colOff>
                    <xdr:row>38</xdr:row>
                    <xdr:rowOff>0</xdr:rowOff>
                  </from>
                  <to>
                    <xdr:col>19</xdr:col>
                    <xdr:colOff>431800</xdr:colOff>
                    <xdr:row>39</xdr:row>
                    <xdr:rowOff>0</xdr:rowOff>
                  </to>
                </anchor>
              </controlPr>
            </control>
          </mc:Choice>
        </mc:AlternateContent>
        <mc:AlternateContent xmlns:mc="http://schemas.openxmlformats.org/markup-compatibility/2006">
          <mc:Choice Requires="x14">
            <control shapeId="8232" r:id="rId41" name="Check Box 40">
              <controlPr defaultSize="0" autoFill="0" autoLine="0" autoPict="0">
                <anchor moveWithCells="1" sizeWithCells="1">
                  <from>
                    <xdr:col>17</xdr:col>
                    <xdr:colOff>215900</xdr:colOff>
                    <xdr:row>39</xdr:row>
                    <xdr:rowOff>0</xdr:rowOff>
                  </from>
                  <to>
                    <xdr:col>17</xdr:col>
                    <xdr:colOff>431800</xdr:colOff>
                    <xdr:row>40</xdr:row>
                    <xdr:rowOff>0</xdr:rowOff>
                  </to>
                </anchor>
              </controlPr>
            </control>
          </mc:Choice>
        </mc:AlternateContent>
        <mc:AlternateContent xmlns:mc="http://schemas.openxmlformats.org/markup-compatibility/2006">
          <mc:Choice Requires="x14">
            <control shapeId="8233" r:id="rId42" name="Check Box 41">
              <controlPr defaultSize="0" autoFill="0" autoLine="0" autoPict="0">
                <anchor moveWithCells="1" sizeWithCells="1">
                  <from>
                    <xdr:col>18</xdr:col>
                    <xdr:colOff>215900</xdr:colOff>
                    <xdr:row>39</xdr:row>
                    <xdr:rowOff>0</xdr:rowOff>
                  </from>
                  <to>
                    <xdr:col>18</xdr:col>
                    <xdr:colOff>431800</xdr:colOff>
                    <xdr:row>40</xdr:row>
                    <xdr:rowOff>0</xdr:rowOff>
                  </to>
                </anchor>
              </controlPr>
            </control>
          </mc:Choice>
        </mc:AlternateContent>
        <mc:AlternateContent xmlns:mc="http://schemas.openxmlformats.org/markup-compatibility/2006">
          <mc:Choice Requires="x14">
            <control shapeId="8234" r:id="rId43" name="Check Box 42">
              <controlPr defaultSize="0" autoFill="0" autoLine="0" autoPict="0">
                <anchor moveWithCells="1" sizeWithCells="1">
                  <from>
                    <xdr:col>19</xdr:col>
                    <xdr:colOff>215900</xdr:colOff>
                    <xdr:row>39</xdr:row>
                    <xdr:rowOff>0</xdr:rowOff>
                  </from>
                  <to>
                    <xdr:col>19</xdr:col>
                    <xdr:colOff>431800</xdr:colOff>
                    <xdr:row>40</xdr:row>
                    <xdr:rowOff>0</xdr:rowOff>
                  </to>
                </anchor>
              </controlPr>
            </control>
          </mc:Choice>
        </mc:AlternateContent>
        <mc:AlternateContent xmlns:mc="http://schemas.openxmlformats.org/markup-compatibility/2006">
          <mc:Choice Requires="x14">
            <control shapeId="8235" r:id="rId44" name="Check Box 43">
              <controlPr defaultSize="0" autoFill="0" autoLine="0" autoPict="0">
                <anchor moveWithCells="1" sizeWithCells="1">
                  <from>
                    <xdr:col>17</xdr:col>
                    <xdr:colOff>215900</xdr:colOff>
                    <xdr:row>40</xdr:row>
                    <xdr:rowOff>0</xdr:rowOff>
                  </from>
                  <to>
                    <xdr:col>17</xdr:col>
                    <xdr:colOff>431800</xdr:colOff>
                    <xdr:row>41</xdr:row>
                    <xdr:rowOff>0</xdr:rowOff>
                  </to>
                </anchor>
              </controlPr>
            </control>
          </mc:Choice>
        </mc:AlternateContent>
        <mc:AlternateContent xmlns:mc="http://schemas.openxmlformats.org/markup-compatibility/2006">
          <mc:Choice Requires="x14">
            <control shapeId="8236" r:id="rId45" name="Check Box 44">
              <controlPr defaultSize="0" autoFill="0" autoLine="0" autoPict="0">
                <anchor moveWithCells="1" sizeWithCells="1">
                  <from>
                    <xdr:col>18</xdr:col>
                    <xdr:colOff>215900</xdr:colOff>
                    <xdr:row>40</xdr:row>
                    <xdr:rowOff>0</xdr:rowOff>
                  </from>
                  <to>
                    <xdr:col>18</xdr:col>
                    <xdr:colOff>431800</xdr:colOff>
                    <xdr:row>41</xdr:row>
                    <xdr:rowOff>0</xdr:rowOff>
                  </to>
                </anchor>
              </controlPr>
            </control>
          </mc:Choice>
        </mc:AlternateContent>
        <mc:AlternateContent xmlns:mc="http://schemas.openxmlformats.org/markup-compatibility/2006">
          <mc:Choice Requires="x14">
            <control shapeId="8237" r:id="rId46" name="Check Box 45">
              <controlPr defaultSize="0" autoFill="0" autoLine="0" autoPict="0">
                <anchor moveWithCells="1" sizeWithCells="1">
                  <from>
                    <xdr:col>19</xdr:col>
                    <xdr:colOff>215900</xdr:colOff>
                    <xdr:row>40</xdr:row>
                    <xdr:rowOff>0</xdr:rowOff>
                  </from>
                  <to>
                    <xdr:col>19</xdr:col>
                    <xdr:colOff>431800</xdr:colOff>
                    <xdr:row>41</xdr:row>
                    <xdr:rowOff>0</xdr:rowOff>
                  </to>
                </anchor>
              </controlPr>
            </control>
          </mc:Choice>
        </mc:AlternateContent>
        <mc:AlternateContent xmlns:mc="http://schemas.openxmlformats.org/markup-compatibility/2006">
          <mc:Choice Requires="x14">
            <control shapeId="8241" r:id="rId47" name="Check Box 49">
              <controlPr defaultSize="0" autoFill="0" autoLine="0" autoPict="0">
                <anchor moveWithCells="1" sizeWithCells="1">
                  <from>
                    <xdr:col>17</xdr:col>
                    <xdr:colOff>215900</xdr:colOff>
                    <xdr:row>43</xdr:row>
                    <xdr:rowOff>0</xdr:rowOff>
                  </from>
                  <to>
                    <xdr:col>17</xdr:col>
                    <xdr:colOff>431800</xdr:colOff>
                    <xdr:row>44</xdr:row>
                    <xdr:rowOff>0</xdr:rowOff>
                  </to>
                </anchor>
              </controlPr>
            </control>
          </mc:Choice>
        </mc:AlternateContent>
        <mc:AlternateContent xmlns:mc="http://schemas.openxmlformats.org/markup-compatibility/2006">
          <mc:Choice Requires="x14">
            <control shapeId="8242" r:id="rId48" name="Check Box 50">
              <controlPr defaultSize="0" autoFill="0" autoLine="0" autoPict="0">
                <anchor moveWithCells="1" sizeWithCells="1">
                  <from>
                    <xdr:col>18</xdr:col>
                    <xdr:colOff>215900</xdr:colOff>
                    <xdr:row>43</xdr:row>
                    <xdr:rowOff>0</xdr:rowOff>
                  </from>
                  <to>
                    <xdr:col>18</xdr:col>
                    <xdr:colOff>431800</xdr:colOff>
                    <xdr:row>44</xdr:row>
                    <xdr:rowOff>0</xdr:rowOff>
                  </to>
                </anchor>
              </controlPr>
            </control>
          </mc:Choice>
        </mc:AlternateContent>
        <mc:AlternateContent xmlns:mc="http://schemas.openxmlformats.org/markup-compatibility/2006">
          <mc:Choice Requires="x14">
            <control shapeId="8243" r:id="rId49" name="Check Box 51">
              <controlPr defaultSize="0" autoFill="0" autoLine="0" autoPict="0">
                <anchor moveWithCells="1" sizeWithCells="1">
                  <from>
                    <xdr:col>19</xdr:col>
                    <xdr:colOff>215900</xdr:colOff>
                    <xdr:row>43</xdr:row>
                    <xdr:rowOff>0</xdr:rowOff>
                  </from>
                  <to>
                    <xdr:col>19</xdr:col>
                    <xdr:colOff>431800</xdr:colOff>
                    <xdr:row>44</xdr:row>
                    <xdr:rowOff>0</xdr:rowOff>
                  </to>
                </anchor>
              </controlPr>
            </control>
          </mc:Choice>
        </mc:AlternateContent>
        <mc:AlternateContent xmlns:mc="http://schemas.openxmlformats.org/markup-compatibility/2006">
          <mc:Choice Requires="x14">
            <control shapeId="8244" r:id="rId50" name="Check Box 52">
              <controlPr defaultSize="0" autoFill="0" autoLine="0" autoPict="0">
                <anchor moveWithCells="1" sizeWithCells="1">
                  <from>
                    <xdr:col>17</xdr:col>
                    <xdr:colOff>215900</xdr:colOff>
                    <xdr:row>44</xdr:row>
                    <xdr:rowOff>0</xdr:rowOff>
                  </from>
                  <to>
                    <xdr:col>17</xdr:col>
                    <xdr:colOff>431800</xdr:colOff>
                    <xdr:row>45</xdr:row>
                    <xdr:rowOff>0</xdr:rowOff>
                  </to>
                </anchor>
              </controlPr>
            </control>
          </mc:Choice>
        </mc:AlternateContent>
        <mc:AlternateContent xmlns:mc="http://schemas.openxmlformats.org/markup-compatibility/2006">
          <mc:Choice Requires="x14">
            <control shapeId="8245" r:id="rId51" name="Check Box 53">
              <controlPr defaultSize="0" autoFill="0" autoLine="0" autoPict="0">
                <anchor moveWithCells="1" sizeWithCells="1">
                  <from>
                    <xdr:col>18</xdr:col>
                    <xdr:colOff>215900</xdr:colOff>
                    <xdr:row>44</xdr:row>
                    <xdr:rowOff>0</xdr:rowOff>
                  </from>
                  <to>
                    <xdr:col>18</xdr:col>
                    <xdr:colOff>431800</xdr:colOff>
                    <xdr:row>45</xdr:row>
                    <xdr:rowOff>0</xdr:rowOff>
                  </to>
                </anchor>
              </controlPr>
            </control>
          </mc:Choice>
        </mc:AlternateContent>
        <mc:AlternateContent xmlns:mc="http://schemas.openxmlformats.org/markup-compatibility/2006">
          <mc:Choice Requires="x14">
            <control shapeId="8246" r:id="rId52" name="Check Box 54">
              <controlPr defaultSize="0" autoFill="0" autoLine="0" autoPict="0">
                <anchor moveWithCells="1" sizeWithCells="1">
                  <from>
                    <xdr:col>19</xdr:col>
                    <xdr:colOff>215900</xdr:colOff>
                    <xdr:row>44</xdr:row>
                    <xdr:rowOff>0</xdr:rowOff>
                  </from>
                  <to>
                    <xdr:col>19</xdr:col>
                    <xdr:colOff>431800</xdr:colOff>
                    <xdr:row>45</xdr:row>
                    <xdr:rowOff>0</xdr:rowOff>
                  </to>
                </anchor>
              </controlPr>
            </control>
          </mc:Choice>
        </mc:AlternateContent>
        <mc:AlternateContent xmlns:mc="http://schemas.openxmlformats.org/markup-compatibility/2006">
          <mc:Choice Requires="x14">
            <control shapeId="8247" r:id="rId53" name="Check Box 55">
              <controlPr defaultSize="0" autoFill="0" autoLine="0" autoPict="0">
                <anchor moveWithCells="1" sizeWithCells="1">
                  <from>
                    <xdr:col>17</xdr:col>
                    <xdr:colOff>215900</xdr:colOff>
                    <xdr:row>45</xdr:row>
                    <xdr:rowOff>0</xdr:rowOff>
                  </from>
                  <to>
                    <xdr:col>17</xdr:col>
                    <xdr:colOff>431800</xdr:colOff>
                    <xdr:row>46</xdr:row>
                    <xdr:rowOff>0</xdr:rowOff>
                  </to>
                </anchor>
              </controlPr>
            </control>
          </mc:Choice>
        </mc:AlternateContent>
        <mc:AlternateContent xmlns:mc="http://schemas.openxmlformats.org/markup-compatibility/2006">
          <mc:Choice Requires="x14">
            <control shapeId="8248" r:id="rId54" name="Check Box 56">
              <controlPr defaultSize="0" autoFill="0" autoLine="0" autoPict="0">
                <anchor moveWithCells="1" sizeWithCells="1">
                  <from>
                    <xdr:col>18</xdr:col>
                    <xdr:colOff>215900</xdr:colOff>
                    <xdr:row>45</xdr:row>
                    <xdr:rowOff>0</xdr:rowOff>
                  </from>
                  <to>
                    <xdr:col>18</xdr:col>
                    <xdr:colOff>431800</xdr:colOff>
                    <xdr:row>46</xdr:row>
                    <xdr:rowOff>0</xdr:rowOff>
                  </to>
                </anchor>
              </controlPr>
            </control>
          </mc:Choice>
        </mc:AlternateContent>
        <mc:AlternateContent xmlns:mc="http://schemas.openxmlformats.org/markup-compatibility/2006">
          <mc:Choice Requires="x14">
            <control shapeId="8249" r:id="rId55" name="Check Box 57">
              <controlPr defaultSize="0" autoFill="0" autoLine="0" autoPict="0">
                <anchor moveWithCells="1" sizeWithCells="1">
                  <from>
                    <xdr:col>19</xdr:col>
                    <xdr:colOff>215900</xdr:colOff>
                    <xdr:row>45</xdr:row>
                    <xdr:rowOff>0</xdr:rowOff>
                  </from>
                  <to>
                    <xdr:col>19</xdr:col>
                    <xdr:colOff>431800</xdr:colOff>
                    <xdr:row>46</xdr:row>
                    <xdr:rowOff>0</xdr:rowOff>
                  </to>
                </anchor>
              </controlPr>
            </control>
          </mc:Choice>
        </mc:AlternateContent>
        <mc:AlternateContent xmlns:mc="http://schemas.openxmlformats.org/markup-compatibility/2006">
          <mc:Choice Requires="x14">
            <control shapeId="8250" r:id="rId56" name="Check Box 58">
              <controlPr defaultSize="0" autoFill="0" autoLine="0" autoPict="0">
                <anchor moveWithCells="1" sizeWithCells="1">
                  <from>
                    <xdr:col>17</xdr:col>
                    <xdr:colOff>215900</xdr:colOff>
                    <xdr:row>46</xdr:row>
                    <xdr:rowOff>0</xdr:rowOff>
                  </from>
                  <to>
                    <xdr:col>17</xdr:col>
                    <xdr:colOff>431800</xdr:colOff>
                    <xdr:row>47</xdr:row>
                    <xdr:rowOff>0</xdr:rowOff>
                  </to>
                </anchor>
              </controlPr>
            </control>
          </mc:Choice>
        </mc:AlternateContent>
        <mc:AlternateContent xmlns:mc="http://schemas.openxmlformats.org/markup-compatibility/2006">
          <mc:Choice Requires="x14">
            <control shapeId="8251" r:id="rId57" name="Check Box 59">
              <controlPr defaultSize="0" autoFill="0" autoLine="0" autoPict="0">
                <anchor moveWithCells="1" sizeWithCells="1">
                  <from>
                    <xdr:col>18</xdr:col>
                    <xdr:colOff>215900</xdr:colOff>
                    <xdr:row>46</xdr:row>
                    <xdr:rowOff>0</xdr:rowOff>
                  </from>
                  <to>
                    <xdr:col>18</xdr:col>
                    <xdr:colOff>431800</xdr:colOff>
                    <xdr:row>47</xdr:row>
                    <xdr:rowOff>0</xdr:rowOff>
                  </to>
                </anchor>
              </controlPr>
            </control>
          </mc:Choice>
        </mc:AlternateContent>
        <mc:AlternateContent xmlns:mc="http://schemas.openxmlformats.org/markup-compatibility/2006">
          <mc:Choice Requires="x14">
            <control shapeId="8252" r:id="rId58" name="Check Box 60">
              <controlPr defaultSize="0" autoFill="0" autoLine="0" autoPict="0">
                <anchor moveWithCells="1" sizeWithCells="1">
                  <from>
                    <xdr:col>19</xdr:col>
                    <xdr:colOff>215900</xdr:colOff>
                    <xdr:row>46</xdr:row>
                    <xdr:rowOff>0</xdr:rowOff>
                  </from>
                  <to>
                    <xdr:col>19</xdr:col>
                    <xdr:colOff>431800</xdr:colOff>
                    <xdr:row>47</xdr:row>
                    <xdr:rowOff>0</xdr:rowOff>
                  </to>
                </anchor>
              </controlPr>
            </control>
          </mc:Choice>
        </mc:AlternateContent>
        <mc:AlternateContent xmlns:mc="http://schemas.openxmlformats.org/markup-compatibility/2006">
          <mc:Choice Requires="x14">
            <control shapeId="8253" r:id="rId59" name="Check Box 61">
              <controlPr defaultSize="0" autoFill="0" autoLine="0" autoPict="0">
                <anchor moveWithCells="1" sizeWithCells="1">
                  <from>
                    <xdr:col>17</xdr:col>
                    <xdr:colOff>215900</xdr:colOff>
                    <xdr:row>47</xdr:row>
                    <xdr:rowOff>0</xdr:rowOff>
                  </from>
                  <to>
                    <xdr:col>17</xdr:col>
                    <xdr:colOff>431800</xdr:colOff>
                    <xdr:row>48</xdr:row>
                    <xdr:rowOff>0</xdr:rowOff>
                  </to>
                </anchor>
              </controlPr>
            </control>
          </mc:Choice>
        </mc:AlternateContent>
        <mc:AlternateContent xmlns:mc="http://schemas.openxmlformats.org/markup-compatibility/2006">
          <mc:Choice Requires="x14">
            <control shapeId="8254" r:id="rId60" name="Check Box 62">
              <controlPr defaultSize="0" autoFill="0" autoLine="0" autoPict="0">
                <anchor moveWithCells="1" sizeWithCells="1">
                  <from>
                    <xdr:col>18</xdr:col>
                    <xdr:colOff>215900</xdr:colOff>
                    <xdr:row>47</xdr:row>
                    <xdr:rowOff>0</xdr:rowOff>
                  </from>
                  <to>
                    <xdr:col>18</xdr:col>
                    <xdr:colOff>431800</xdr:colOff>
                    <xdr:row>48</xdr:row>
                    <xdr:rowOff>0</xdr:rowOff>
                  </to>
                </anchor>
              </controlPr>
            </control>
          </mc:Choice>
        </mc:AlternateContent>
        <mc:AlternateContent xmlns:mc="http://schemas.openxmlformats.org/markup-compatibility/2006">
          <mc:Choice Requires="x14">
            <control shapeId="8255" r:id="rId61" name="Check Box 63">
              <controlPr defaultSize="0" autoFill="0" autoLine="0" autoPict="0">
                <anchor moveWithCells="1" sizeWithCells="1">
                  <from>
                    <xdr:col>19</xdr:col>
                    <xdr:colOff>215900</xdr:colOff>
                    <xdr:row>47</xdr:row>
                    <xdr:rowOff>0</xdr:rowOff>
                  </from>
                  <to>
                    <xdr:col>19</xdr:col>
                    <xdr:colOff>431800</xdr:colOff>
                    <xdr:row>48</xdr:row>
                    <xdr:rowOff>0</xdr:rowOff>
                  </to>
                </anchor>
              </controlPr>
            </control>
          </mc:Choice>
        </mc:AlternateContent>
        <mc:AlternateContent xmlns:mc="http://schemas.openxmlformats.org/markup-compatibility/2006">
          <mc:Choice Requires="x14">
            <control shapeId="8256" r:id="rId62" name="Check Box 64">
              <controlPr defaultSize="0" autoFill="0" autoLine="0" autoPict="0">
                <anchor moveWithCells="1" sizeWithCells="1">
                  <from>
                    <xdr:col>17</xdr:col>
                    <xdr:colOff>215900</xdr:colOff>
                    <xdr:row>48</xdr:row>
                    <xdr:rowOff>0</xdr:rowOff>
                  </from>
                  <to>
                    <xdr:col>17</xdr:col>
                    <xdr:colOff>431800</xdr:colOff>
                    <xdr:row>49</xdr:row>
                    <xdr:rowOff>0</xdr:rowOff>
                  </to>
                </anchor>
              </controlPr>
            </control>
          </mc:Choice>
        </mc:AlternateContent>
        <mc:AlternateContent xmlns:mc="http://schemas.openxmlformats.org/markup-compatibility/2006">
          <mc:Choice Requires="x14">
            <control shapeId="8257" r:id="rId63" name="Check Box 65">
              <controlPr defaultSize="0" autoFill="0" autoLine="0" autoPict="0">
                <anchor moveWithCells="1" sizeWithCells="1">
                  <from>
                    <xdr:col>18</xdr:col>
                    <xdr:colOff>215900</xdr:colOff>
                    <xdr:row>48</xdr:row>
                    <xdr:rowOff>0</xdr:rowOff>
                  </from>
                  <to>
                    <xdr:col>18</xdr:col>
                    <xdr:colOff>431800</xdr:colOff>
                    <xdr:row>49</xdr:row>
                    <xdr:rowOff>0</xdr:rowOff>
                  </to>
                </anchor>
              </controlPr>
            </control>
          </mc:Choice>
        </mc:AlternateContent>
        <mc:AlternateContent xmlns:mc="http://schemas.openxmlformats.org/markup-compatibility/2006">
          <mc:Choice Requires="x14">
            <control shapeId="8258" r:id="rId64" name="Check Box 66">
              <controlPr defaultSize="0" autoFill="0" autoLine="0" autoPict="0">
                <anchor moveWithCells="1" sizeWithCells="1">
                  <from>
                    <xdr:col>19</xdr:col>
                    <xdr:colOff>215900</xdr:colOff>
                    <xdr:row>48</xdr:row>
                    <xdr:rowOff>0</xdr:rowOff>
                  </from>
                  <to>
                    <xdr:col>19</xdr:col>
                    <xdr:colOff>431800</xdr:colOff>
                    <xdr:row>49</xdr:row>
                    <xdr:rowOff>0</xdr:rowOff>
                  </to>
                </anchor>
              </controlPr>
            </control>
          </mc:Choice>
        </mc:AlternateContent>
        <mc:AlternateContent xmlns:mc="http://schemas.openxmlformats.org/markup-compatibility/2006">
          <mc:Choice Requires="x14">
            <control shapeId="8259" r:id="rId65" name="Check Box 67">
              <controlPr defaultSize="0" autoFill="0" autoLine="0" autoPict="0">
                <anchor moveWithCells="1" sizeWithCells="1">
                  <from>
                    <xdr:col>17</xdr:col>
                    <xdr:colOff>215900</xdr:colOff>
                    <xdr:row>49</xdr:row>
                    <xdr:rowOff>0</xdr:rowOff>
                  </from>
                  <to>
                    <xdr:col>17</xdr:col>
                    <xdr:colOff>431800</xdr:colOff>
                    <xdr:row>50</xdr:row>
                    <xdr:rowOff>0</xdr:rowOff>
                  </to>
                </anchor>
              </controlPr>
            </control>
          </mc:Choice>
        </mc:AlternateContent>
        <mc:AlternateContent xmlns:mc="http://schemas.openxmlformats.org/markup-compatibility/2006">
          <mc:Choice Requires="x14">
            <control shapeId="8260" r:id="rId66" name="Check Box 68">
              <controlPr defaultSize="0" autoFill="0" autoLine="0" autoPict="0">
                <anchor moveWithCells="1" sizeWithCells="1">
                  <from>
                    <xdr:col>18</xdr:col>
                    <xdr:colOff>215900</xdr:colOff>
                    <xdr:row>49</xdr:row>
                    <xdr:rowOff>0</xdr:rowOff>
                  </from>
                  <to>
                    <xdr:col>18</xdr:col>
                    <xdr:colOff>431800</xdr:colOff>
                    <xdr:row>50</xdr:row>
                    <xdr:rowOff>0</xdr:rowOff>
                  </to>
                </anchor>
              </controlPr>
            </control>
          </mc:Choice>
        </mc:AlternateContent>
        <mc:AlternateContent xmlns:mc="http://schemas.openxmlformats.org/markup-compatibility/2006">
          <mc:Choice Requires="x14">
            <control shapeId="8261" r:id="rId67" name="Check Box 69">
              <controlPr defaultSize="0" autoFill="0" autoLine="0" autoPict="0">
                <anchor moveWithCells="1" sizeWithCells="1">
                  <from>
                    <xdr:col>19</xdr:col>
                    <xdr:colOff>215900</xdr:colOff>
                    <xdr:row>49</xdr:row>
                    <xdr:rowOff>0</xdr:rowOff>
                  </from>
                  <to>
                    <xdr:col>19</xdr:col>
                    <xdr:colOff>431800</xdr:colOff>
                    <xdr:row>50</xdr:row>
                    <xdr:rowOff>0</xdr:rowOff>
                  </to>
                </anchor>
              </controlPr>
            </control>
          </mc:Choice>
        </mc:AlternateContent>
        <mc:AlternateContent xmlns:mc="http://schemas.openxmlformats.org/markup-compatibility/2006">
          <mc:Choice Requires="x14">
            <control shapeId="8262" r:id="rId68" name="Check Box 70">
              <controlPr defaultSize="0" autoFill="0" autoLine="0" autoPict="0">
                <anchor moveWithCells="1" sizeWithCells="1">
                  <from>
                    <xdr:col>17</xdr:col>
                    <xdr:colOff>215900</xdr:colOff>
                    <xdr:row>54</xdr:row>
                    <xdr:rowOff>0</xdr:rowOff>
                  </from>
                  <to>
                    <xdr:col>17</xdr:col>
                    <xdr:colOff>431800</xdr:colOff>
                    <xdr:row>55</xdr:row>
                    <xdr:rowOff>0</xdr:rowOff>
                  </to>
                </anchor>
              </controlPr>
            </control>
          </mc:Choice>
        </mc:AlternateContent>
        <mc:AlternateContent xmlns:mc="http://schemas.openxmlformats.org/markup-compatibility/2006">
          <mc:Choice Requires="x14">
            <control shapeId="8263" r:id="rId69" name="Check Box 71">
              <controlPr defaultSize="0" autoFill="0" autoLine="0" autoPict="0">
                <anchor moveWithCells="1" sizeWithCells="1">
                  <from>
                    <xdr:col>18</xdr:col>
                    <xdr:colOff>215900</xdr:colOff>
                    <xdr:row>54</xdr:row>
                    <xdr:rowOff>0</xdr:rowOff>
                  </from>
                  <to>
                    <xdr:col>18</xdr:col>
                    <xdr:colOff>431800</xdr:colOff>
                    <xdr:row>55</xdr:row>
                    <xdr:rowOff>0</xdr:rowOff>
                  </to>
                </anchor>
              </controlPr>
            </control>
          </mc:Choice>
        </mc:AlternateContent>
        <mc:AlternateContent xmlns:mc="http://schemas.openxmlformats.org/markup-compatibility/2006">
          <mc:Choice Requires="x14">
            <control shapeId="8264" r:id="rId70" name="Check Box 72">
              <controlPr defaultSize="0" autoFill="0" autoLine="0" autoPict="0">
                <anchor moveWithCells="1" sizeWithCells="1">
                  <from>
                    <xdr:col>19</xdr:col>
                    <xdr:colOff>215900</xdr:colOff>
                    <xdr:row>54</xdr:row>
                    <xdr:rowOff>0</xdr:rowOff>
                  </from>
                  <to>
                    <xdr:col>19</xdr:col>
                    <xdr:colOff>431800</xdr:colOff>
                    <xdr:row>55</xdr:row>
                    <xdr:rowOff>0</xdr:rowOff>
                  </to>
                </anchor>
              </controlPr>
            </control>
          </mc:Choice>
        </mc:AlternateContent>
        <mc:AlternateContent xmlns:mc="http://schemas.openxmlformats.org/markup-compatibility/2006">
          <mc:Choice Requires="x14">
            <control shapeId="8265" r:id="rId71" name="Check Box 73">
              <controlPr defaultSize="0" autoFill="0" autoLine="0" autoPict="0">
                <anchor moveWithCells="1" sizeWithCells="1">
                  <from>
                    <xdr:col>17</xdr:col>
                    <xdr:colOff>215900</xdr:colOff>
                    <xdr:row>55</xdr:row>
                    <xdr:rowOff>0</xdr:rowOff>
                  </from>
                  <to>
                    <xdr:col>17</xdr:col>
                    <xdr:colOff>431800</xdr:colOff>
                    <xdr:row>56</xdr:row>
                    <xdr:rowOff>0</xdr:rowOff>
                  </to>
                </anchor>
              </controlPr>
            </control>
          </mc:Choice>
        </mc:AlternateContent>
        <mc:AlternateContent xmlns:mc="http://schemas.openxmlformats.org/markup-compatibility/2006">
          <mc:Choice Requires="x14">
            <control shapeId="8266" r:id="rId72" name="Check Box 74">
              <controlPr defaultSize="0" autoFill="0" autoLine="0" autoPict="0">
                <anchor moveWithCells="1" sizeWithCells="1">
                  <from>
                    <xdr:col>18</xdr:col>
                    <xdr:colOff>215900</xdr:colOff>
                    <xdr:row>55</xdr:row>
                    <xdr:rowOff>0</xdr:rowOff>
                  </from>
                  <to>
                    <xdr:col>18</xdr:col>
                    <xdr:colOff>431800</xdr:colOff>
                    <xdr:row>56</xdr:row>
                    <xdr:rowOff>0</xdr:rowOff>
                  </to>
                </anchor>
              </controlPr>
            </control>
          </mc:Choice>
        </mc:AlternateContent>
        <mc:AlternateContent xmlns:mc="http://schemas.openxmlformats.org/markup-compatibility/2006">
          <mc:Choice Requires="x14">
            <control shapeId="8267" r:id="rId73" name="Check Box 75">
              <controlPr defaultSize="0" autoFill="0" autoLine="0" autoPict="0">
                <anchor moveWithCells="1" sizeWithCells="1">
                  <from>
                    <xdr:col>19</xdr:col>
                    <xdr:colOff>215900</xdr:colOff>
                    <xdr:row>55</xdr:row>
                    <xdr:rowOff>0</xdr:rowOff>
                  </from>
                  <to>
                    <xdr:col>19</xdr:col>
                    <xdr:colOff>431800</xdr:colOff>
                    <xdr:row>56</xdr:row>
                    <xdr:rowOff>0</xdr:rowOff>
                  </to>
                </anchor>
              </controlPr>
            </control>
          </mc:Choice>
        </mc:AlternateContent>
        <mc:AlternateContent xmlns:mc="http://schemas.openxmlformats.org/markup-compatibility/2006">
          <mc:Choice Requires="x14">
            <control shapeId="8268" r:id="rId74" name="Check Box 76">
              <controlPr defaultSize="0" autoFill="0" autoLine="0" autoPict="0">
                <anchor moveWithCells="1" sizeWithCells="1">
                  <from>
                    <xdr:col>17</xdr:col>
                    <xdr:colOff>215900</xdr:colOff>
                    <xdr:row>56</xdr:row>
                    <xdr:rowOff>0</xdr:rowOff>
                  </from>
                  <to>
                    <xdr:col>17</xdr:col>
                    <xdr:colOff>431800</xdr:colOff>
                    <xdr:row>57</xdr:row>
                    <xdr:rowOff>0</xdr:rowOff>
                  </to>
                </anchor>
              </controlPr>
            </control>
          </mc:Choice>
        </mc:AlternateContent>
        <mc:AlternateContent xmlns:mc="http://schemas.openxmlformats.org/markup-compatibility/2006">
          <mc:Choice Requires="x14">
            <control shapeId="8269" r:id="rId75" name="Check Box 77">
              <controlPr defaultSize="0" autoFill="0" autoLine="0" autoPict="0">
                <anchor moveWithCells="1" sizeWithCells="1">
                  <from>
                    <xdr:col>18</xdr:col>
                    <xdr:colOff>215900</xdr:colOff>
                    <xdr:row>56</xdr:row>
                    <xdr:rowOff>0</xdr:rowOff>
                  </from>
                  <to>
                    <xdr:col>18</xdr:col>
                    <xdr:colOff>431800</xdr:colOff>
                    <xdr:row>57</xdr:row>
                    <xdr:rowOff>0</xdr:rowOff>
                  </to>
                </anchor>
              </controlPr>
            </control>
          </mc:Choice>
        </mc:AlternateContent>
        <mc:AlternateContent xmlns:mc="http://schemas.openxmlformats.org/markup-compatibility/2006">
          <mc:Choice Requires="x14">
            <control shapeId="8270" r:id="rId76" name="Check Box 78">
              <controlPr defaultSize="0" autoFill="0" autoLine="0" autoPict="0">
                <anchor moveWithCells="1" sizeWithCells="1">
                  <from>
                    <xdr:col>19</xdr:col>
                    <xdr:colOff>215900</xdr:colOff>
                    <xdr:row>56</xdr:row>
                    <xdr:rowOff>0</xdr:rowOff>
                  </from>
                  <to>
                    <xdr:col>19</xdr:col>
                    <xdr:colOff>431800</xdr:colOff>
                    <xdr:row>57</xdr:row>
                    <xdr:rowOff>0</xdr:rowOff>
                  </to>
                </anchor>
              </controlPr>
            </control>
          </mc:Choice>
        </mc:AlternateContent>
        <mc:AlternateContent xmlns:mc="http://schemas.openxmlformats.org/markup-compatibility/2006">
          <mc:Choice Requires="x14">
            <control shapeId="8271" r:id="rId77" name="Check Box 79">
              <controlPr defaultSize="0" autoFill="0" autoLine="0" autoPict="0">
                <anchor moveWithCells="1" sizeWithCells="1">
                  <from>
                    <xdr:col>17</xdr:col>
                    <xdr:colOff>215900</xdr:colOff>
                    <xdr:row>57</xdr:row>
                    <xdr:rowOff>0</xdr:rowOff>
                  </from>
                  <to>
                    <xdr:col>17</xdr:col>
                    <xdr:colOff>431800</xdr:colOff>
                    <xdr:row>58</xdr:row>
                    <xdr:rowOff>0</xdr:rowOff>
                  </to>
                </anchor>
              </controlPr>
            </control>
          </mc:Choice>
        </mc:AlternateContent>
        <mc:AlternateContent xmlns:mc="http://schemas.openxmlformats.org/markup-compatibility/2006">
          <mc:Choice Requires="x14">
            <control shapeId="8272" r:id="rId78" name="Check Box 80">
              <controlPr defaultSize="0" autoFill="0" autoLine="0" autoPict="0">
                <anchor moveWithCells="1" sizeWithCells="1">
                  <from>
                    <xdr:col>18</xdr:col>
                    <xdr:colOff>215900</xdr:colOff>
                    <xdr:row>57</xdr:row>
                    <xdr:rowOff>0</xdr:rowOff>
                  </from>
                  <to>
                    <xdr:col>18</xdr:col>
                    <xdr:colOff>431800</xdr:colOff>
                    <xdr:row>58</xdr:row>
                    <xdr:rowOff>0</xdr:rowOff>
                  </to>
                </anchor>
              </controlPr>
            </control>
          </mc:Choice>
        </mc:AlternateContent>
        <mc:AlternateContent xmlns:mc="http://schemas.openxmlformats.org/markup-compatibility/2006">
          <mc:Choice Requires="x14">
            <control shapeId="8273" r:id="rId79" name="Check Box 81">
              <controlPr defaultSize="0" autoFill="0" autoLine="0" autoPict="0">
                <anchor moveWithCells="1" sizeWithCells="1">
                  <from>
                    <xdr:col>19</xdr:col>
                    <xdr:colOff>215900</xdr:colOff>
                    <xdr:row>57</xdr:row>
                    <xdr:rowOff>0</xdr:rowOff>
                  </from>
                  <to>
                    <xdr:col>19</xdr:col>
                    <xdr:colOff>431800</xdr:colOff>
                    <xdr:row>58</xdr:row>
                    <xdr:rowOff>0</xdr:rowOff>
                  </to>
                </anchor>
              </controlPr>
            </control>
          </mc:Choice>
        </mc:AlternateContent>
        <mc:AlternateContent xmlns:mc="http://schemas.openxmlformats.org/markup-compatibility/2006">
          <mc:Choice Requires="x14">
            <control shapeId="8274" r:id="rId80" name="Check Box 82">
              <controlPr defaultSize="0" autoFill="0" autoLine="0" autoPict="0">
                <anchor moveWithCells="1" sizeWithCells="1">
                  <from>
                    <xdr:col>17</xdr:col>
                    <xdr:colOff>215900</xdr:colOff>
                    <xdr:row>58</xdr:row>
                    <xdr:rowOff>0</xdr:rowOff>
                  </from>
                  <to>
                    <xdr:col>17</xdr:col>
                    <xdr:colOff>431800</xdr:colOff>
                    <xdr:row>59</xdr:row>
                    <xdr:rowOff>0</xdr:rowOff>
                  </to>
                </anchor>
              </controlPr>
            </control>
          </mc:Choice>
        </mc:AlternateContent>
        <mc:AlternateContent xmlns:mc="http://schemas.openxmlformats.org/markup-compatibility/2006">
          <mc:Choice Requires="x14">
            <control shapeId="8275" r:id="rId81" name="Check Box 83">
              <controlPr defaultSize="0" autoFill="0" autoLine="0" autoPict="0">
                <anchor moveWithCells="1" sizeWithCells="1">
                  <from>
                    <xdr:col>18</xdr:col>
                    <xdr:colOff>215900</xdr:colOff>
                    <xdr:row>58</xdr:row>
                    <xdr:rowOff>0</xdr:rowOff>
                  </from>
                  <to>
                    <xdr:col>18</xdr:col>
                    <xdr:colOff>431800</xdr:colOff>
                    <xdr:row>59</xdr:row>
                    <xdr:rowOff>0</xdr:rowOff>
                  </to>
                </anchor>
              </controlPr>
            </control>
          </mc:Choice>
        </mc:AlternateContent>
        <mc:AlternateContent xmlns:mc="http://schemas.openxmlformats.org/markup-compatibility/2006">
          <mc:Choice Requires="x14">
            <control shapeId="8276" r:id="rId82" name="Check Box 84">
              <controlPr defaultSize="0" autoFill="0" autoLine="0" autoPict="0">
                <anchor moveWithCells="1" sizeWithCells="1">
                  <from>
                    <xdr:col>19</xdr:col>
                    <xdr:colOff>215900</xdr:colOff>
                    <xdr:row>58</xdr:row>
                    <xdr:rowOff>0</xdr:rowOff>
                  </from>
                  <to>
                    <xdr:col>19</xdr:col>
                    <xdr:colOff>431800</xdr:colOff>
                    <xdr:row>59</xdr:row>
                    <xdr:rowOff>0</xdr:rowOff>
                  </to>
                </anchor>
              </controlPr>
            </control>
          </mc:Choice>
        </mc:AlternateContent>
        <mc:AlternateContent xmlns:mc="http://schemas.openxmlformats.org/markup-compatibility/2006">
          <mc:Choice Requires="x14">
            <control shapeId="8277" r:id="rId83" name="Check Box 85">
              <controlPr defaultSize="0" autoFill="0" autoLine="0" autoPict="0">
                <anchor moveWithCells="1" sizeWithCells="1">
                  <from>
                    <xdr:col>17</xdr:col>
                    <xdr:colOff>215900</xdr:colOff>
                    <xdr:row>59</xdr:row>
                    <xdr:rowOff>0</xdr:rowOff>
                  </from>
                  <to>
                    <xdr:col>17</xdr:col>
                    <xdr:colOff>431800</xdr:colOff>
                    <xdr:row>60</xdr:row>
                    <xdr:rowOff>0</xdr:rowOff>
                  </to>
                </anchor>
              </controlPr>
            </control>
          </mc:Choice>
        </mc:AlternateContent>
        <mc:AlternateContent xmlns:mc="http://schemas.openxmlformats.org/markup-compatibility/2006">
          <mc:Choice Requires="x14">
            <control shapeId="8278" r:id="rId84" name="Check Box 86">
              <controlPr defaultSize="0" autoFill="0" autoLine="0" autoPict="0">
                <anchor moveWithCells="1" sizeWithCells="1">
                  <from>
                    <xdr:col>18</xdr:col>
                    <xdr:colOff>215900</xdr:colOff>
                    <xdr:row>59</xdr:row>
                    <xdr:rowOff>0</xdr:rowOff>
                  </from>
                  <to>
                    <xdr:col>18</xdr:col>
                    <xdr:colOff>431800</xdr:colOff>
                    <xdr:row>60</xdr:row>
                    <xdr:rowOff>0</xdr:rowOff>
                  </to>
                </anchor>
              </controlPr>
            </control>
          </mc:Choice>
        </mc:AlternateContent>
        <mc:AlternateContent xmlns:mc="http://schemas.openxmlformats.org/markup-compatibility/2006">
          <mc:Choice Requires="x14">
            <control shapeId="8279" r:id="rId85" name="Check Box 87">
              <controlPr defaultSize="0" autoFill="0" autoLine="0" autoPict="0">
                <anchor moveWithCells="1" sizeWithCells="1">
                  <from>
                    <xdr:col>19</xdr:col>
                    <xdr:colOff>215900</xdr:colOff>
                    <xdr:row>59</xdr:row>
                    <xdr:rowOff>0</xdr:rowOff>
                  </from>
                  <to>
                    <xdr:col>19</xdr:col>
                    <xdr:colOff>431800</xdr:colOff>
                    <xdr:row>60</xdr:row>
                    <xdr:rowOff>0</xdr:rowOff>
                  </to>
                </anchor>
              </controlPr>
            </control>
          </mc:Choice>
        </mc:AlternateContent>
        <mc:AlternateContent xmlns:mc="http://schemas.openxmlformats.org/markup-compatibility/2006">
          <mc:Choice Requires="x14">
            <control shapeId="8280" r:id="rId86" name="Check Box 88">
              <controlPr defaultSize="0" autoFill="0" autoLine="0" autoPict="0">
                <anchor moveWithCells="1" sizeWithCells="1">
                  <from>
                    <xdr:col>17</xdr:col>
                    <xdr:colOff>215900</xdr:colOff>
                    <xdr:row>62</xdr:row>
                    <xdr:rowOff>0</xdr:rowOff>
                  </from>
                  <to>
                    <xdr:col>17</xdr:col>
                    <xdr:colOff>431800</xdr:colOff>
                    <xdr:row>63</xdr:row>
                    <xdr:rowOff>0</xdr:rowOff>
                  </to>
                </anchor>
              </controlPr>
            </control>
          </mc:Choice>
        </mc:AlternateContent>
        <mc:AlternateContent xmlns:mc="http://schemas.openxmlformats.org/markup-compatibility/2006">
          <mc:Choice Requires="x14">
            <control shapeId="8281" r:id="rId87" name="Check Box 89">
              <controlPr defaultSize="0" autoFill="0" autoLine="0" autoPict="0">
                <anchor moveWithCells="1" sizeWithCells="1">
                  <from>
                    <xdr:col>18</xdr:col>
                    <xdr:colOff>215900</xdr:colOff>
                    <xdr:row>62</xdr:row>
                    <xdr:rowOff>0</xdr:rowOff>
                  </from>
                  <to>
                    <xdr:col>18</xdr:col>
                    <xdr:colOff>431800</xdr:colOff>
                    <xdr:row>63</xdr:row>
                    <xdr:rowOff>0</xdr:rowOff>
                  </to>
                </anchor>
              </controlPr>
            </control>
          </mc:Choice>
        </mc:AlternateContent>
        <mc:AlternateContent xmlns:mc="http://schemas.openxmlformats.org/markup-compatibility/2006">
          <mc:Choice Requires="x14">
            <control shapeId="8282" r:id="rId88" name="Check Box 90">
              <controlPr defaultSize="0" autoFill="0" autoLine="0" autoPict="0">
                <anchor moveWithCells="1" sizeWithCells="1">
                  <from>
                    <xdr:col>19</xdr:col>
                    <xdr:colOff>215900</xdr:colOff>
                    <xdr:row>62</xdr:row>
                    <xdr:rowOff>0</xdr:rowOff>
                  </from>
                  <to>
                    <xdr:col>19</xdr:col>
                    <xdr:colOff>431800</xdr:colOff>
                    <xdr:row>63</xdr:row>
                    <xdr:rowOff>0</xdr:rowOff>
                  </to>
                </anchor>
              </controlPr>
            </control>
          </mc:Choice>
        </mc:AlternateContent>
        <mc:AlternateContent xmlns:mc="http://schemas.openxmlformats.org/markup-compatibility/2006">
          <mc:Choice Requires="x14">
            <control shapeId="8283" r:id="rId89" name="Check Box 91">
              <controlPr defaultSize="0" autoFill="0" autoLine="0" autoPict="0">
                <anchor moveWithCells="1" sizeWithCells="1">
                  <from>
                    <xdr:col>17</xdr:col>
                    <xdr:colOff>215900</xdr:colOff>
                    <xdr:row>63</xdr:row>
                    <xdr:rowOff>0</xdr:rowOff>
                  </from>
                  <to>
                    <xdr:col>17</xdr:col>
                    <xdr:colOff>431800</xdr:colOff>
                    <xdr:row>64</xdr:row>
                    <xdr:rowOff>0</xdr:rowOff>
                  </to>
                </anchor>
              </controlPr>
            </control>
          </mc:Choice>
        </mc:AlternateContent>
        <mc:AlternateContent xmlns:mc="http://schemas.openxmlformats.org/markup-compatibility/2006">
          <mc:Choice Requires="x14">
            <control shapeId="8284" r:id="rId90" name="Check Box 92">
              <controlPr defaultSize="0" autoFill="0" autoLine="0" autoPict="0">
                <anchor moveWithCells="1" sizeWithCells="1">
                  <from>
                    <xdr:col>18</xdr:col>
                    <xdr:colOff>215900</xdr:colOff>
                    <xdr:row>63</xdr:row>
                    <xdr:rowOff>0</xdr:rowOff>
                  </from>
                  <to>
                    <xdr:col>18</xdr:col>
                    <xdr:colOff>431800</xdr:colOff>
                    <xdr:row>64</xdr:row>
                    <xdr:rowOff>0</xdr:rowOff>
                  </to>
                </anchor>
              </controlPr>
            </control>
          </mc:Choice>
        </mc:AlternateContent>
        <mc:AlternateContent xmlns:mc="http://schemas.openxmlformats.org/markup-compatibility/2006">
          <mc:Choice Requires="x14">
            <control shapeId="8285" r:id="rId91" name="Check Box 93">
              <controlPr defaultSize="0" autoFill="0" autoLine="0" autoPict="0">
                <anchor moveWithCells="1" sizeWithCells="1">
                  <from>
                    <xdr:col>19</xdr:col>
                    <xdr:colOff>215900</xdr:colOff>
                    <xdr:row>63</xdr:row>
                    <xdr:rowOff>0</xdr:rowOff>
                  </from>
                  <to>
                    <xdr:col>19</xdr:col>
                    <xdr:colOff>431800</xdr:colOff>
                    <xdr:row>64</xdr:row>
                    <xdr:rowOff>0</xdr:rowOff>
                  </to>
                </anchor>
              </controlPr>
            </control>
          </mc:Choice>
        </mc:AlternateContent>
        <mc:AlternateContent xmlns:mc="http://schemas.openxmlformats.org/markup-compatibility/2006">
          <mc:Choice Requires="x14">
            <control shapeId="8286" r:id="rId92" name="Check Box 94">
              <controlPr defaultSize="0" autoFill="0" autoLine="0" autoPict="0">
                <anchor moveWithCells="1" sizeWithCells="1">
                  <from>
                    <xdr:col>17</xdr:col>
                    <xdr:colOff>215900</xdr:colOff>
                    <xdr:row>64</xdr:row>
                    <xdr:rowOff>0</xdr:rowOff>
                  </from>
                  <to>
                    <xdr:col>17</xdr:col>
                    <xdr:colOff>431800</xdr:colOff>
                    <xdr:row>65</xdr:row>
                    <xdr:rowOff>0</xdr:rowOff>
                  </to>
                </anchor>
              </controlPr>
            </control>
          </mc:Choice>
        </mc:AlternateContent>
        <mc:AlternateContent xmlns:mc="http://schemas.openxmlformats.org/markup-compatibility/2006">
          <mc:Choice Requires="x14">
            <control shapeId="8287" r:id="rId93" name="Check Box 95">
              <controlPr defaultSize="0" autoFill="0" autoLine="0" autoPict="0">
                <anchor moveWithCells="1" sizeWithCells="1">
                  <from>
                    <xdr:col>18</xdr:col>
                    <xdr:colOff>215900</xdr:colOff>
                    <xdr:row>64</xdr:row>
                    <xdr:rowOff>0</xdr:rowOff>
                  </from>
                  <to>
                    <xdr:col>18</xdr:col>
                    <xdr:colOff>431800</xdr:colOff>
                    <xdr:row>65</xdr:row>
                    <xdr:rowOff>0</xdr:rowOff>
                  </to>
                </anchor>
              </controlPr>
            </control>
          </mc:Choice>
        </mc:AlternateContent>
        <mc:AlternateContent xmlns:mc="http://schemas.openxmlformats.org/markup-compatibility/2006">
          <mc:Choice Requires="x14">
            <control shapeId="8288" r:id="rId94" name="Check Box 96">
              <controlPr defaultSize="0" autoFill="0" autoLine="0" autoPict="0">
                <anchor moveWithCells="1" sizeWithCells="1">
                  <from>
                    <xdr:col>19</xdr:col>
                    <xdr:colOff>215900</xdr:colOff>
                    <xdr:row>64</xdr:row>
                    <xdr:rowOff>0</xdr:rowOff>
                  </from>
                  <to>
                    <xdr:col>19</xdr:col>
                    <xdr:colOff>431800</xdr:colOff>
                    <xdr:row>65</xdr:row>
                    <xdr:rowOff>0</xdr:rowOff>
                  </to>
                </anchor>
              </controlPr>
            </control>
          </mc:Choice>
        </mc:AlternateContent>
        <mc:AlternateContent xmlns:mc="http://schemas.openxmlformats.org/markup-compatibility/2006">
          <mc:Choice Requires="x14">
            <control shapeId="8289" r:id="rId95" name="Check Box 97">
              <controlPr defaultSize="0" autoFill="0" autoLine="0" autoPict="0">
                <anchor moveWithCells="1" sizeWithCells="1">
                  <from>
                    <xdr:col>17</xdr:col>
                    <xdr:colOff>215900</xdr:colOff>
                    <xdr:row>67</xdr:row>
                    <xdr:rowOff>0</xdr:rowOff>
                  </from>
                  <to>
                    <xdr:col>17</xdr:col>
                    <xdr:colOff>431800</xdr:colOff>
                    <xdr:row>68</xdr:row>
                    <xdr:rowOff>0</xdr:rowOff>
                  </to>
                </anchor>
              </controlPr>
            </control>
          </mc:Choice>
        </mc:AlternateContent>
        <mc:AlternateContent xmlns:mc="http://schemas.openxmlformats.org/markup-compatibility/2006">
          <mc:Choice Requires="x14">
            <control shapeId="8290" r:id="rId96" name="Check Box 98">
              <controlPr defaultSize="0" autoFill="0" autoLine="0" autoPict="0">
                <anchor moveWithCells="1" sizeWithCells="1">
                  <from>
                    <xdr:col>18</xdr:col>
                    <xdr:colOff>215900</xdr:colOff>
                    <xdr:row>67</xdr:row>
                    <xdr:rowOff>0</xdr:rowOff>
                  </from>
                  <to>
                    <xdr:col>18</xdr:col>
                    <xdr:colOff>431800</xdr:colOff>
                    <xdr:row>68</xdr:row>
                    <xdr:rowOff>0</xdr:rowOff>
                  </to>
                </anchor>
              </controlPr>
            </control>
          </mc:Choice>
        </mc:AlternateContent>
        <mc:AlternateContent xmlns:mc="http://schemas.openxmlformats.org/markup-compatibility/2006">
          <mc:Choice Requires="x14">
            <control shapeId="8291" r:id="rId97" name="Check Box 99">
              <controlPr defaultSize="0" autoFill="0" autoLine="0" autoPict="0">
                <anchor moveWithCells="1" sizeWithCells="1">
                  <from>
                    <xdr:col>19</xdr:col>
                    <xdr:colOff>215900</xdr:colOff>
                    <xdr:row>67</xdr:row>
                    <xdr:rowOff>0</xdr:rowOff>
                  </from>
                  <to>
                    <xdr:col>19</xdr:col>
                    <xdr:colOff>431800</xdr:colOff>
                    <xdr:row>68</xdr:row>
                    <xdr:rowOff>0</xdr:rowOff>
                  </to>
                </anchor>
              </controlPr>
            </control>
          </mc:Choice>
        </mc:AlternateContent>
        <mc:AlternateContent xmlns:mc="http://schemas.openxmlformats.org/markup-compatibility/2006">
          <mc:Choice Requires="x14">
            <control shapeId="8292" r:id="rId98" name="Check Box 100">
              <controlPr defaultSize="0" autoFill="0" autoLine="0" autoPict="0">
                <anchor moveWithCells="1" sizeWithCells="1">
                  <from>
                    <xdr:col>17</xdr:col>
                    <xdr:colOff>215900</xdr:colOff>
                    <xdr:row>71</xdr:row>
                    <xdr:rowOff>0</xdr:rowOff>
                  </from>
                  <to>
                    <xdr:col>17</xdr:col>
                    <xdr:colOff>431800</xdr:colOff>
                    <xdr:row>72</xdr:row>
                    <xdr:rowOff>0</xdr:rowOff>
                  </to>
                </anchor>
              </controlPr>
            </control>
          </mc:Choice>
        </mc:AlternateContent>
        <mc:AlternateContent xmlns:mc="http://schemas.openxmlformats.org/markup-compatibility/2006">
          <mc:Choice Requires="x14">
            <control shapeId="8293" r:id="rId99" name="Check Box 101">
              <controlPr defaultSize="0" autoFill="0" autoLine="0" autoPict="0">
                <anchor moveWithCells="1" sizeWithCells="1">
                  <from>
                    <xdr:col>18</xdr:col>
                    <xdr:colOff>215900</xdr:colOff>
                    <xdr:row>71</xdr:row>
                    <xdr:rowOff>0</xdr:rowOff>
                  </from>
                  <to>
                    <xdr:col>18</xdr:col>
                    <xdr:colOff>431800</xdr:colOff>
                    <xdr:row>72</xdr:row>
                    <xdr:rowOff>0</xdr:rowOff>
                  </to>
                </anchor>
              </controlPr>
            </control>
          </mc:Choice>
        </mc:AlternateContent>
        <mc:AlternateContent xmlns:mc="http://schemas.openxmlformats.org/markup-compatibility/2006">
          <mc:Choice Requires="x14">
            <control shapeId="8294" r:id="rId100" name="Check Box 102">
              <controlPr defaultSize="0" autoFill="0" autoLine="0" autoPict="0">
                <anchor moveWithCells="1" sizeWithCells="1">
                  <from>
                    <xdr:col>19</xdr:col>
                    <xdr:colOff>215900</xdr:colOff>
                    <xdr:row>71</xdr:row>
                    <xdr:rowOff>0</xdr:rowOff>
                  </from>
                  <to>
                    <xdr:col>19</xdr:col>
                    <xdr:colOff>431800</xdr:colOff>
                    <xdr:row>72</xdr:row>
                    <xdr:rowOff>0</xdr:rowOff>
                  </to>
                </anchor>
              </controlPr>
            </control>
          </mc:Choice>
        </mc:AlternateContent>
        <mc:AlternateContent xmlns:mc="http://schemas.openxmlformats.org/markup-compatibility/2006">
          <mc:Choice Requires="x14">
            <control shapeId="8295" r:id="rId101" name="Check Box 103">
              <controlPr defaultSize="0" autoFill="0" autoLine="0" autoPict="0">
                <anchor moveWithCells="1" sizeWithCells="1">
                  <from>
                    <xdr:col>17</xdr:col>
                    <xdr:colOff>215900</xdr:colOff>
                    <xdr:row>72</xdr:row>
                    <xdr:rowOff>0</xdr:rowOff>
                  </from>
                  <to>
                    <xdr:col>17</xdr:col>
                    <xdr:colOff>431800</xdr:colOff>
                    <xdr:row>73</xdr:row>
                    <xdr:rowOff>0</xdr:rowOff>
                  </to>
                </anchor>
              </controlPr>
            </control>
          </mc:Choice>
        </mc:AlternateContent>
        <mc:AlternateContent xmlns:mc="http://schemas.openxmlformats.org/markup-compatibility/2006">
          <mc:Choice Requires="x14">
            <control shapeId="8296" r:id="rId102" name="Check Box 104">
              <controlPr defaultSize="0" autoFill="0" autoLine="0" autoPict="0">
                <anchor moveWithCells="1" sizeWithCells="1">
                  <from>
                    <xdr:col>18</xdr:col>
                    <xdr:colOff>215900</xdr:colOff>
                    <xdr:row>72</xdr:row>
                    <xdr:rowOff>0</xdr:rowOff>
                  </from>
                  <to>
                    <xdr:col>18</xdr:col>
                    <xdr:colOff>431800</xdr:colOff>
                    <xdr:row>73</xdr:row>
                    <xdr:rowOff>0</xdr:rowOff>
                  </to>
                </anchor>
              </controlPr>
            </control>
          </mc:Choice>
        </mc:AlternateContent>
        <mc:AlternateContent xmlns:mc="http://schemas.openxmlformats.org/markup-compatibility/2006">
          <mc:Choice Requires="x14">
            <control shapeId="8297" r:id="rId103" name="Check Box 105">
              <controlPr defaultSize="0" autoFill="0" autoLine="0" autoPict="0">
                <anchor moveWithCells="1" sizeWithCells="1">
                  <from>
                    <xdr:col>19</xdr:col>
                    <xdr:colOff>215900</xdr:colOff>
                    <xdr:row>72</xdr:row>
                    <xdr:rowOff>0</xdr:rowOff>
                  </from>
                  <to>
                    <xdr:col>19</xdr:col>
                    <xdr:colOff>431800</xdr:colOff>
                    <xdr:row>73</xdr:row>
                    <xdr:rowOff>0</xdr:rowOff>
                  </to>
                </anchor>
              </controlPr>
            </control>
          </mc:Choice>
        </mc:AlternateContent>
        <mc:AlternateContent xmlns:mc="http://schemas.openxmlformats.org/markup-compatibility/2006">
          <mc:Choice Requires="x14">
            <control shapeId="8298" r:id="rId104" name="Check Box 106">
              <controlPr defaultSize="0" autoFill="0" autoLine="0" autoPict="0">
                <anchor moveWithCells="1" sizeWithCells="1">
                  <from>
                    <xdr:col>17</xdr:col>
                    <xdr:colOff>215900</xdr:colOff>
                    <xdr:row>73</xdr:row>
                    <xdr:rowOff>0</xdr:rowOff>
                  </from>
                  <to>
                    <xdr:col>17</xdr:col>
                    <xdr:colOff>431800</xdr:colOff>
                    <xdr:row>74</xdr:row>
                    <xdr:rowOff>0</xdr:rowOff>
                  </to>
                </anchor>
              </controlPr>
            </control>
          </mc:Choice>
        </mc:AlternateContent>
        <mc:AlternateContent xmlns:mc="http://schemas.openxmlformats.org/markup-compatibility/2006">
          <mc:Choice Requires="x14">
            <control shapeId="8299" r:id="rId105" name="Check Box 107">
              <controlPr defaultSize="0" autoFill="0" autoLine="0" autoPict="0">
                <anchor moveWithCells="1" sizeWithCells="1">
                  <from>
                    <xdr:col>18</xdr:col>
                    <xdr:colOff>215900</xdr:colOff>
                    <xdr:row>73</xdr:row>
                    <xdr:rowOff>0</xdr:rowOff>
                  </from>
                  <to>
                    <xdr:col>18</xdr:col>
                    <xdr:colOff>431800</xdr:colOff>
                    <xdr:row>74</xdr:row>
                    <xdr:rowOff>0</xdr:rowOff>
                  </to>
                </anchor>
              </controlPr>
            </control>
          </mc:Choice>
        </mc:AlternateContent>
        <mc:AlternateContent xmlns:mc="http://schemas.openxmlformats.org/markup-compatibility/2006">
          <mc:Choice Requires="x14">
            <control shapeId="8300" r:id="rId106" name="Check Box 108">
              <controlPr defaultSize="0" autoFill="0" autoLine="0" autoPict="0">
                <anchor moveWithCells="1" sizeWithCells="1">
                  <from>
                    <xdr:col>19</xdr:col>
                    <xdr:colOff>215900</xdr:colOff>
                    <xdr:row>73</xdr:row>
                    <xdr:rowOff>0</xdr:rowOff>
                  </from>
                  <to>
                    <xdr:col>19</xdr:col>
                    <xdr:colOff>431800</xdr:colOff>
                    <xdr:row>74</xdr:row>
                    <xdr:rowOff>0</xdr:rowOff>
                  </to>
                </anchor>
              </controlPr>
            </control>
          </mc:Choice>
        </mc:AlternateContent>
        <mc:AlternateContent xmlns:mc="http://schemas.openxmlformats.org/markup-compatibility/2006">
          <mc:Choice Requires="x14">
            <control shapeId="8301" r:id="rId107" name="Check Box 109">
              <controlPr defaultSize="0" autoFill="0" autoLine="0" autoPict="0">
                <anchor moveWithCells="1" sizeWithCells="1">
                  <from>
                    <xdr:col>17</xdr:col>
                    <xdr:colOff>215900</xdr:colOff>
                    <xdr:row>74</xdr:row>
                    <xdr:rowOff>0</xdr:rowOff>
                  </from>
                  <to>
                    <xdr:col>17</xdr:col>
                    <xdr:colOff>431800</xdr:colOff>
                    <xdr:row>75</xdr:row>
                    <xdr:rowOff>0</xdr:rowOff>
                  </to>
                </anchor>
              </controlPr>
            </control>
          </mc:Choice>
        </mc:AlternateContent>
        <mc:AlternateContent xmlns:mc="http://schemas.openxmlformats.org/markup-compatibility/2006">
          <mc:Choice Requires="x14">
            <control shapeId="8302" r:id="rId108" name="Check Box 110">
              <controlPr defaultSize="0" autoFill="0" autoLine="0" autoPict="0">
                <anchor moveWithCells="1" sizeWithCells="1">
                  <from>
                    <xdr:col>18</xdr:col>
                    <xdr:colOff>215900</xdr:colOff>
                    <xdr:row>74</xdr:row>
                    <xdr:rowOff>0</xdr:rowOff>
                  </from>
                  <to>
                    <xdr:col>18</xdr:col>
                    <xdr:colOff>431800</xdr:colOff>
                    <xdr:row>75</xdr:row>
                    <xdr:rowOff>0</xdr:rowOff>
                  </to>
                </anchor>
              </controlPr>
            </control>
          </mc:Choice>
        </mc:AlternateContent>
        <mc:AlternateContent xmlns:mc="http://schemas.openxmlformats.org/markup-compatibility/2006">
          <mc:Choice Requires="x14">
            <control shapeId="8303" r:id="rId109" name="Check Box 111">
              <controlPr defaultSize="0" autoFill="0" autoLine="0" autoPict="0">
                <anchor moveWithCells="1" sizeWithCells="1">
                  <from>
                    <xdr:col>19</xdr:col>
                    <xdr:colOff>215900</xdr:colOff>
                    <xdr:row>74</xdr:row>
                    <xdr:rowOff>0</xdr:rowOff>
                  </from>
                  <to>
                    <xdr:col>19</xdr:col>
                    <xdr:colOff>431800</xdr:colOff>
                    <xdr:row>75</xdr:row>
                    <xdr:rowOff>0</xdr:rowOff>
                  </to>
                </anchor>
              </controlPr>
            </control>
          </mc:Choice>
        </mc:AlternateContent>
        <mc:AlternateContent xmlns:mc="http://schemas.openxmlformats.org/markup-compatibility/2006">
          <mc:Choice Requires="x14">
            <control shapeId="8304" r:id="rId110" name="Check Box 112">
              <controlPr defaultSize="0" autoFill="0" autoLine="0" autoPict="0">
                <anchor moveWithCells="1" sizeWithCells="1">
                  <from>
                    <xdr:col>17</xdr:col>
                    <xdr:colOff>215900</xdr:colOff>
                    <xdr:row>75</xdr:row>
                    <xdr:rowOff>0</xdr:rowOff>
                  </from>
                  <to>
                    <xdr:col>17</xdr:col>
                    <xdr:colOff>431800</xdr:colOff>
                    <xdr:row>76</xdr:row>
                    <xdr:rowOff>0</xdr:rowOff>
                  </to>
                </anchor>
              </controlPr>
            </control>
          </mc:Choice>
        </mc:AlternateContent>
        <mc:AlternateContent xmlns:mc="http://schemas.openxmlformats.org/markup-compatibility/2006">
          <mc:Choice Requires="x14">
            <control shapeId="8305" r:id="rId111" name="Check Box 113">
              <controlPr defaultSize="0" autoFill="0" autoLine="0" autoPict="0">
                <anchor moveWithCells="1" sizeWithCells="1">
                  <from>
                    <xdr:col>18</xdr:col>
                    <xdr:colOff>215900</xdr:colOff>
                    <xdr:row>75</xdr:row>
                    <xdr:rowOff>0</xdr:rowOff>
                  </from>
                  <to>
                    <xdr:col>18</xdr:col>
                    <xdr:colOff>431800</xdr:colOff>
                    <xdr:row>76</xdr:row>
                    <xdr:rowOff>0</xdr:rowOff>
                  </to>
                </anchor>
              </controlPr>
            </control>
          </mc:Choice>
        </mc:AlternateContent>
        <mc:AlternateContent xmlns:mc="http://schemas.openxmlformats.org/markup-compatibility/2006">
          <mc:Choice Requires="x14">
            <control shapeId="8306" r:id="rId112" name="Check Box 114">
              <controlPr defaultSize="0" autoFill="0" autoLine="0" autoPict="0">
                <anchor moveWithCells="1" sizeWithCells="1">
                  <from>
                    <xdr:col>19</xdr:col>
                    <xdr:colOff>215900</xdr:colOff>
                    <xdr:row>75</xdr:row>
                    <xdr:rowOff>0</xdr:rowOff>
                  </from>
                  <to>
                    <xdr:col>19</xdr:col>
                    <xdr:colOff>431800</xdr:colOff>
                    <xdr:row>76</xdr:row>
                    <xdr:rowOff>0</xdr:rowOff>
                  </to>
                </anchor>
              </controlPr>
            </control>
          </mc:Choice>
        </mc:AlternateContent>
        <mc:AlternateContent xmlns:mc="http://schemas.openxmlformats.org/markup-compatibility/2006">
          <mc:Choice Requires="x14">
            <control shapeId="8307" r:id="rId113" name="Check Box 115">
              <controlPr defaultSize="0" autoFill="0" autoLine="0" autoPict="0">
                <anchor moveWithCells="1" sizeWithCells="1">
                  <from>
                    <xdr:col>17</xdr:col>
                    <xdr:colOff>215900</xdr:colOff>
                    <xdr:row>79</xdr:row>
                    <xdr:rowOff>0</xdr:rowOff>
                  </from>
                  <to>
                    <xdr:col>17</xdr:col>
                    <xdr:colOff>431800</xdr:colOff>
                    <xdr:row>80</xdr:row>
                    <xdr:rowOff>0</xdr:rowOff>
                  </to>
                </anchor>
              </controlPr>
            </control>
          </mc:Choice>
        </mc:AlternateContent>
        <mc:AlternateContent xmlns:mc="http://schemas.openxmlformats.org/markup-compatibility/2006">
          <mc:Choice Requires="x14">
            <control shapeId="8308" r:id="rId114" name="Check Box 116">
              <controlPr defaultSize="0" autoFill="0" autoLine="0" autoPict="0">
                <anchor moveWithCells="1" sizeWithCells="1">
                  <from>
                    <xdr:col>18</xdr:col>
                    <xdr:colOff>215900</xdr:colOff>
                    <xdr:row>79</xdr:row>
                    <xdr:rowOff>0</xdr:rowOff>
                  </from>
                  <to>
                    <xdr:col>18</xdr:col>
                    <xdr:colOff>431800</xdr:colOff>
                    <xdr:row>80</xdr:row>
                    <xdr:rowOff>0</xdr:rowOff>
                  </to>
                </anchor>
              </controlPr>
            </control>
          </mc:Choice>
        </mc:AlternateContent>
        <mc:AlternateContent xmlns:mc="http://schemas.openxmlformats.org/markup-compatibility/2006">
          <mc:Choice Requires="x14">
            <control shapeId="8309" r:id="rId115" name="Check Box 117">
              <controlPr defaultSize="0" autoFill="0" autoLine="0" autoPict="0">
                <anchor moveWithCells="1" sizeWithCells="1">
                  <from>
                    <xdr:col>19</xdr:col>
                    <xdr:colOff>215900</xdr:colOff>
                    <xdr:row>79</xdr:row>
                    <xdr:rowOff>0</xdr:rowOff>
                  </from>
                  <to>
                    <xdr:col>19</xdr:col>
                    <xdr:colOff>431800</xdr:colOff>
                    <xdr:row>80</xdr:row>
                    <xdr:rowOff>0</xdr:rowOff>
                  </to>
                </anchor>
              </controlPr>
            </control>
          </mc:Choice>
        </mc:AlternateContent>
        <mc:AlternateContent xmlns:mc="http://schemas.openxmlformats.org/markup-compatibility/2006">
          <mc:Choice Requires="x14">
            <control shapeId="8310" r:id="rId116" name="Check Box 118">
              <controlPr defaultSize="0" autoFill="0" autoLine="0" autoPict="0">
                <anchor moveWithCells="1" sizeWithCells="1">
                  <from>
                    <xdr:col>17</xdr:col>
                    <xdr:colOff>215900</xdr:colOff>
                    <xdr:row>80</xdr:row>
                    <xdr:rowOff>0</xdr:rowOff>
                  </from>
                  <to>
                    <xdr:col>17</xdr:col>
                    <xdr:colOff>431800</xdr:colOff>
                    <xdr:row>81</xdr:row>
                    <xdr:rowOff>0</xdr:rowOff>
                  </to>
                </anchor>
              </controlPr>
            </control>
          </mc:Choice>
        </mc:AlternateContent>
        <mc:AlternateContent xmlns:mc="http://schemas.openxmlformats.org/markup-compatibility/2006">
          <mc:Choice Requires="x14">
            <control shapeId="8311" r:id="rId117" name="Check Box 119">
              <controlPr defaultSize="0" autoFill="0" autoLine="0" autoPict="0">
                <anchor moveWithCells="1" sizeWithCells="1">
                  <from>
                    <xdr:col>18</xdr:col>
                    <xdr:colOff>215900</xdr:colOff>
                    <xdr:row>80</xdr:row>
                    <xdr:rowOff>0</xdr:rowOff>
                  </from>
                  <to>
                    <xdr:col>18</xdr:col>
                    <xdr:colOff>431800</xdr:colOff>
                    <xdr:row>81</xdr:row>
                    <xdr:rowOff>0</xdr:rowOff>
                  </to>
                </anchor>
              </controlPr>
            </control>
          </mc:Choice>
        </mc:AlternateContent>
        <mc:AlternateContent xmlns:mc="http://schemas.openxmlformats.org/markup-compatibility/2006">
          <mc:Choice Requires="x14">
            <control shapeId="8312" r:id="rId118" name="Check Box 120">
              <controlPr defaultSize="0" autoFill="0" autoLine="0" autoPict="0">
                <anchor moveWithCells="1" sizeWithCells="1">
                  <from>
                    <xdr:col>19</xdr:col>
                    <xdr:colOff>215900</xdr:colOff>
                    <xdr:row>80</xdr:row>
                    <xdr:rowOff>0</xdr:rowOff>
                  </from>
                  <to>
                    <xdr:col>19</xdr:col>
                    <xdr:colOff>431800</xdr:colOff>
                    <xdr:row>81</xdr:row>
                    <xdr:rowOff>0</xdr:rowOff>
                  </to>
                </anchor>
              </controlPr>
            </control>
          </mc:Choice>
        </mc:AlternateContent>
        <mc:AlternateContent xmlns:mc="http://schemas.openxmlformats.org/markup-compatibility/2006">
          <mc:Choice Requires="x14">
            <control shapeId="8313" r:id="rId119" name="Check Box 121">
              <controlPr defaultSize="0" autoFill="0" autoLine="0" autoPict="0">
                <anchor moveWithCells="1" sizeWithCells="1">
                  <from>
                    <xdr:col>17</xdr:col>
                    <xdr:colOff>215900</xdr:colOff>
                    <xdr:row>81</xdr:row>
                    <xdr:rowOff>0</xdr:rowOff>
                  </from>
                  <to>
                    <xdr:col>17</xdr:col>
                    <xdr:colOff>431800</xdr:colOff>
                    <xdr:row>82</xdr:row>
                    <xdr:rowOff>0</xdr:rowOff>
                  </to>
                </anchor>
              </controlPr>
            </control>
          </mc:Choice>
        </mc:AlternateContent>
        <mc:AlternateContent xmlns:mc="http://schemas.openxmlformats.org/markup-compatibility/2006">
          <mc:Choice Requires="x14">
            <control shapeId="8314" r:id="rId120" name="Check Box 122">
              <controlPr defaultSize="0" autoFill="0" autoLine="0" autoPict="0">
                <anchor moveWithCells="1" sizeWithCells="1">
                  <from>
                    <xdr:col>18</xdr:col>
                    <xdr:colOff>215900</xdr:colOff>
                    <xdr:row>81</xdr:row>
                    <xdr:rowOff>0</xdr:rowOff>
                  </from>
                  <to>
                    <xdr:col>18</xdr:col>
                    <xdr:colOff>431800</xdr:colOff>
                    <xdr:row>82</xdr:row>
                    <xdr:rowOff>0</xdr:rowOff>
                  </to>
                </anchor>
              </controlPr>
            </control>
          </mc:Choice>
        </mc:AlternateContent>
        <mc:AlternateContent xmlns:mc="http://schemas.openxmlformats.org/markup-compatibility/2006">
          <mc:Choice Requires="x14">
            <control shapeId="8315" r:id="rId121" name="Check Box 123">
              <controlPr defaultSize="0" autoFill="0" autoLine="0" autoPict="0">
                <anchor moveWithCells="1" sizeWithCells="1">
                  <from>
                    <xdr:col>19</xdr:col>
                    <xdr:colOff>215900</xdr:colOff>
                    <xdr:row>81</xdr:row>
                    <xdr:rowOff>0</xdr:rowOff>
                  </from>
                  <to>
                    <xdr:col>19</xdr:col>
                    <xdr:colOff>431800</xdr:colOff>
                    <xdr:row>82</xdr:row>
                    <xdr:rowOff>0</xdr:rowOff>
                  </to>
                </anchor>
              </controlPr>
            </control>
          </mc:Choice>
        </mc:AlternateContent>
        <mc:AlternateContent xmlns:mc="http://schemas.openxmlformats.org/markup-compatibility/2006">
          <mc:Choice Requires="x14">
            <control shapeId="8316" r:id="rId122" name="Check Box 124">
              <controlPr defaultSize="0" autoFill="0" autoLine="0" autoPict="0">
                <anchor moveWithCells="1" sizeWithCells="1">
                  <from>
                    <xdr:col>17</xdr:col>
                    <xdr:colOff>215900</xdr:colOff>
                    <xdr:row>82</xdr:row>
                    <xdr:rowOff>0</xdr:rowOff>
                  </from>
                  <to>
                    <xdr:col>17</xdr:col>
                    <xdr:colOff>431800</xdr:colOff>
                    <xdr:row>83</xdr:row>
                    <xdr:rowOff>0</xdr:rowOff>
                  </to>
                </anchor>
              </controlPr>
            </control>
          </mc:Choice>
        </mc:AlternateContent>
        <mc:AlternateContent xmlns:mc="http://schemas.openxmlformats.org/markup-compatibility/2006">
          <mc:Choice Requires="x14">
            <control shapeId="8317" r:id="rId123" name="Check Box 125">
              <controlPr defaultSize="0" autoFill="0" autoLine="0" autoPict="0">
                <anchor moveWithCells="1" sizeWithCells="1">
                  <from>
                    <xdr:col>18</xdr:col>
                    <xdr:colOff>215900</xdr:colOff>
                    <xdr:row>82</xdr:row>
                    <xdr:rowOff>0</xdr:rowOff>
                  </from>
                  <to>
                    <xdr:col>18</xdr:col>
                    <xdr:colOff>431800</xdr:colOff>
                    <xdr:row>83</xdr:row>
                    <xdr:rowOff>0</xdr:rowOff>
                  </to>
                </anchor>
              </controlPr>
            </control>
          </mc:Choice>
        </mc:AlternateContent>
        <mc:AlternateContent xmlns:mc="http://schemas.openxmlformats.org/markup-compatibility/2006">
          <mc:Choice Requires="x14">
            <control shapeId="8318" r:id="rId124" name="Check Box 126">
              <controlPr defaultSize="0" autoFill="0" autoLine="0" autoPict="0">
                <anchor moveWithCells="1" sizeWithCells="1">
                  <from>
                    <xdr:col>19</xdr:col>
                    <xdr:colOff>215900</xdr:colOff>
                    <xdr:row>82</xdr:row>
                    <xdr:rowOff>0</xdr:rowOff>
                  </from>
                  <to>
                    <xdr:col>19</xdr:col>
                    <xdr:colOff>431800</xdr:colOff>
                    <xdr:row>83</xdr:row>
                    <xdr:rowOff>0</xdr:rowOff>
                  </to>
                </anchor>
              </controlPr>
            </control>
          </mc:Choice>
        </mc:AlternateContent>
        <mc:AlternateContent xmlns:mc="http://schemas.openxmlformats.org/markup-compatibility/2006">
          <mc:Choice Requires="x14">
            <control shapeId="8319" r:id="rId125" name="Check Box 127">
              <controlPr defaultSize="0" autoFill="0" autoLine="0" autoPict="0">
                <anchor moveWithCells="1" sizeWithCells="1">
                  <from>
                    <xdr:col>17</xdr:col>
                    <xdr:colOff>215900</xdr:colOff>
                    <xdr:row>83</xdr:row>
                    <xdr:rowOff>0</xdr:rowOff>
                  </from>
                  <to>
                    <xdr:col>17</xdr:col>
                    <xdr:colOff>431800</xdr:colOff>
                    <xdr:row>84</xdr:row>
                    <xdr:rowOff>0</xdr:rowOff>
                  </to>
                </anchor>
              </controlPr>
            </control>
          </mc:Choice>
        </mc:AlternateContent>
        <mc:AlternateContent xmlns:mc="http://schemas.openxmlformats.org/markup-compatibility/2006">
          <mc:Choice Requires="x14">
            <control shapeId="8320" r:id="rId126" name="Check Box 128">
              <controlPr defaultSize="0" autoFill="0" autoLine="0" autoPict="0">
                <anchor moveWithCells="1" sizeWithCells="1">
                  <from>
                    <xdr:col>18</xdr:col>
                    <xdr:colOff>215900</xdr:colOff>
                    <xdr:row>83</xdr:row>
                    <xdr:rowOff>0</xdr:rowOff>
                  </from>
                  <to>
                    <xdr:col>18</xdr:col>
                    <xdr:colOff>431800</xdr:colOff>
                    <xdr:row>84</xdr:row>
                    <xdr:rowOff>0</xdr:rowOff>
                  </to>
                </anchor>
              </controlPr>
            </control>
          </mc:Choice>
        </mc:AlternateContent>
        <mc:AlternateContent xmlns:mc="http://schemas.openxmlformats.org/markup-compatibility/2006">
          <mc:Choice Requires="x14">
            <control shapeId="8321" r:id="rId127" name="Check Box 129">
              <controlPr defaultSize="0" autoFill="0" autoLine="0" autoPict="0">
                <anchor moveWithCells="1" sizeWithCells="1">
                  <from>
                    <xdr:col>19</xdr:col>
                    <xdr:colOff>215900</xdr:colOff>
                    <xdr:row>83</xdr:row>
                    <xdr:rowOff>0</xdr:rowOff>
                  </from>
                  <to>
                    <xdr:col>19</xdr:col>
                    <xdr:colOff>431800</xdr:colOff>
                    <xdr:row>84</xdr:row>
                    <xdr:rowOff>0</xdr:rowOff>
                  </to>
                </anchor>
              </controlPr>
            </control>
          </mc:Choice>
        </mc:AlternateContent>
        <mc:AlternateContent xmlns:mc="http://schemas.openxmlformats.org/markup-compatibility/2006">
          <mc:Choice Requires="x14">
            <control shapeId="8322" r:id="rId128" name="Check Box 130">
              <controlPr defaultSize="0" autoFill="0" autoLine="0" autoPict="0">
                <anchor moveWithCells="1" sizeWithCells="1">
                  <from>
                    <xdr:col>17</xdr:col>
                    <xdr:colOff>215900</xdr:colOff>
                    <xdr:row>84</xdr:row>
                    <xdr:rowOff>0</xdr:rowOff>
                  </from>
                  <to>
                    <xdr:col>17</xdr:col>
                    <xdr:colOff>431800</xdr:colOff>
                    <xdr:row>85</xdr:row>
                    <xdr:rowOff>0</xdr:rowOff>
                  </to>
                </anchor>
              </controlPr>
            </control>
          </mc:Choice>
        </mc:AlternateContent>
        <mc:AlternateContent xmlns:mc="http://schemas.openxmlformats.org/markup-compatibility/2006">
          <mc:Choice Requires="x14">
            <control shapeId="8323" r:id="rId129" name="Check Box 131">
              <controlPr defaultSize="0" autoFill="0" autoLine="0" autoPict="0">
                <anchor moveWithCells="1" sizeWithCells="1">
                  <from>
                    <xdr:col>18</xdr:col>
                    <xdr:colOff>215900</xdr:colOff>
                    <xdr:row>84</xdr:row>
                    <xdr:rowOff>0</xdr:rowOff>
                  </from>
                  <to>
                    <xdr:col>18</xdr:col>
                    <xdr:colOff>431800</xdr:colOff>
                    <xdr:row>85</xdr:row>
                    <xdr:rowOff>0</xdr:rowOff>
                  </to>
                </anchor>
              </controlPr>
            </control>
          </mc:Choice>
        </mc:AlternateContent>
        <mc:AlternateContent xmlns:mc="http://schemas.openxmlformats.org/markup-compatibility/2006">
          <mc:Choice Requires="x14">
            <control shapeId="8324" r:id="rId130" name="Check Box 132">
              <controlPr defaultSize="0" autoFill="0" autoLine="0" autoPict="0">
                <anchor moveWithCells="1" sizeWithCells="1">
                  <from>
                    <xdr:col>19</xdr:col>
                    <xdr:colOff>215900</xdr:colOff>
                    <xdr:row>84</xdr:row>
                    <xdr:rowOff>0</xdr:rowOff>
                  </from>
                  <to>
                    <xdr:col>19</xdr:col>
                    <xdr:colOff>431800</xdr:colOff>
                    <xdr:row>85</xdr:row>
                    <xdr:rowOff>0</xdr:rowOff>
                  </to>
                </anchor>
              </controlPr>
            </control>
          </mc:Choice>
        </mc:AlternateContent>
        <mc:AlternateContent xmlns:mc="http://schemas.openxmlformats.org/markup-compatibility/2006">
          <mc:Choice Requires="x14">
            <control shapeId="8334" r:id="rId131" name="Check Box 142">
              <controlPr defaultSize="0" autoFill="0" autoLine="0" autoPict="0">
                <anchor moveWithCells="1" sizeWithCells="1">
                  <from>
                    <xdr:col>17</xdr:col>
                    <xdr:colOff>215900</xdr:colOff>
                    <xdr:row>32</xdr:row>
                    <xdr:rowOff>0</xdr:rowOff>
                  </from>
                  <to>
                    <xdr:col>17</xdr:col>
                    <xdr:colOff>431800</xdr:colOff>
                    <xdr:row>33</xdr:row>
                    <xdr:rowOff>0</xdr:rowOff>
                  </to>
                </anchor>
              </controlPr>
            </control>
          </mc:Choice>
        </mc:AlternateContent>
        <mc:AlternateContent xmlns:mc="http://schemas.openxmlformats.org/markup-compatibility/2006">
          <mc:Choice Requires="x14">
            <control shapeId="8335" r:id="rId132" name="Check Box 143">
              <controlPr defaultSize="0" autoFill="0" autoLine="0" autoPict="0">
                <anchor moveWithCells="1" sizeWithCells="1">
                  <from>
                    <xdr:col>18</xdr:col>
                    <xdr:colOff>215900</xdr:colOff>
                    <xdr:row>32</xdr:row>
                    <xdr:rowOff>0</xdr:rowOff>
                  </from>
                  <to>
                    <xdr:col>18</xdr:col>
                    <xdr:colOff>431800</xdr:colOff>
                    <xdr:row>33</xdr:row>
                    <xdr:rowOff>0</xdr:rowOff>
                  </to>
                </anchor>
              </controlPr>
            </control>
          </mc:Choice>
        </mc:AlternateContent>
        <mc:AlternateContent xmlns:mc="http://schemas.openxmlformats.org/markup-compatibility/2006">
          <mc:Choice Requires="x14">
            <control shapeId="8336" r:id="rId133" name="Check Box 144">
              <controlPr defaultSize="0" autoFill="0" autoLine="0" autoPict="0">
                <anchor moveWithCells="1" sizeWithCells="1">
                  <from>
                    <xdr:col>19</xdr:col>
                    <xdr:colOff>215900</xdr:colOff>
                    <xdr:row>32</xdr:row>
                    <xdr:rowOff>0</xdr:rowOff>
                  </from>
                  <to>
                    <xdr:col>19</xdr:col>
                    <xdr:colOff>431800</xdr:colOff>
                    <xdr:row>33</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19B3F44F-362A-49B4-A04A-4E56BDAE7104}">
            <xm:f>intern!$Q249=TRUE</xm:f>
            <x14:dxf>
              <fill>
                <patternFill>
                  <bgColor theme="7" tint="0.39994506668294322"/>
                </patternFill>
              </fill>
            </x14:dxf>
          </x14:cfRule>
          <xm:sqref>R23:R29 R32:R36 R39:R41 R44:R50 R55:R60 R63:R65 R68 R72:R76 R80:R85</xm:sqref>
        </x14:conditionalFormatting>
        <x14:conditionalFormatting xmlns:xm="http://schemas.microsoft.com/office/excel/2006/main">
          <x14:cfRule type="expression" priority="3" id="{4129AD24-B143-4433-AC44-4A3B94088417}">
            <xm:f>intern!$U249&gt;1</xm:f>
            <x14:dxf>
              <fill>
                <patternFill>
                  <bgColor theme="9"/>
                </patternFill>
              </fill>
              <border>
                <left style="thin">
                  <color auto="1"/>
                </left>
                <right style="thin">
                  <color auto="1"/>
                </right>
                <top style="thin">
                  <color auto="1"/>
                </top>
                <bottom style="thin">
                  <color auto="1"/>
                </bottom>
              </border>
            </x14:dxf>
          </x14:cfRule>
          <xm:sqref>R23:T29 R32:T32 R34:T36 R39:T41 R44:T50 R55:T60 R63:T65 R68:T68 R72:T76 R80:T85</xm:sqref>
        </x14:conditionalFormatting>
        <x14:conditionalFormatting xmlns:xm="http://schemas.microsoft.com/office/excel/2006/main">
          <x14:cfRule type="expression" priority="23" id="{14BDA355-32BC-42B8-86A7-E6F6BD8A72FF}">
            <xm:f>intern!$U249=1</xm:f>
            <x14:dxf>
              <fill>
                <patternFill>
                  <bgColor theme="0"/>
                </patternFill>
              </fill>
            </x14:dxf>
          </x14:cfRule>
          <xm:sqref>R23:T29 R32:T36 R39:T41 R44:T50 R55:T60 R63:T65 R68:T68 R72:T76 R80:T85</xm:sqref>
        </x14:conditionalFormatting>
        <x14:conditionalFormatting xmlns:xm="http://schemas.microsoft.com/office/excel/2006/main">
          <x14:cfRule type="expression" priority="7" id="{7CD48210-93FD-438F-84AB-E20D12D049E8}">
            <xm:f>intern!$R249=TRUE</xm:f>
            <x14:dxf>
              <fill>
                <patternFill>
                  <bgColor theme="9" tint="0.59996337778862885"/>
                </patternFill>
              </fill>
            </x14:dxf>
          </x14:cfRule>
          <xm:sqref>S23:S29 S32:S36 S39:S41 S44:S50 S55:S60 S63:S65 S68 S72:S76 S80:S85</xm:sqref>
        </x14:conditionalFormatting>
        <x14:conditionalFormatting xmlns:xm="http://schemas.microsoft.com/office/excel/2006/main">
          <x14:cfRule type="expression" priority="4" id="{3233C2C2-5063-4977-A1BB-1896470E41C4}">
            <xm:f>intern!$S249=TRUE</xm:f>
            <x14:dxf>
              <fill>
                <patternFill>
                  <bgColor theme="3" tint="0.79998168889431442"/>
                </patternFill>
              </fill>
            </x14:dxf>
          </x14:cfRule>
          <xm:sqref>T23:T29 T32:T36 T39:T41 T44:T50 T55:T60 T63:T65 T68 T72:T76 T80:T85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BB042-AF9A-42F0-8DAB-10FAFD324B35}">
  <sheetPr codeName="Sheet9">
    <tabColor theme="6" tint="0.59999389629810485"/>
    <pageSetUpPr autoPageBreaks="0" fitToPage="1"/>
  </sheetPr>
  <dimension ref="A1:AA118"/>
  <sheetViews>
    <sheetView showGridLines="0" showRowColHeaders="0" zoomScaleNormal="100" workbookViewId="0">
      <pane ySplit="3" topLeftCell="A4" activePane="bottomLeft" state="frozen"/>
      <selection activeCell="A4" sqref="A4"/>
      <selection pane="bottomLeft" activeCell="A4" sqref="A4"/>
    </sheetView>
  </sheetViews>
  <sheetFormatPr baseColWidth="10" defaultColWidth="18.6640625" defaultRowHeight="18" customHeight="1"/>
  <cols>
    <col min="1" max="1" width="1.6640625" style="203" customWidth="1"/>
    <col min="2" max="2" width="3.6640625" style="203" customWidth="1"/>
    <col min="3" max="20" width="9.6640625" style="203" customWidth="1"/>
    <col min="21" max="21" width="3.6640625" style="203" customWidth="1"/>
    <col min="22" max="22" width="1.6640625" style="203" customWidth="1"/>
    <col min="23" max="23" width="0.83203125" style="203" customWidth="1"/>
    <col min="24" max="24" width="7.1640625" style="203" customWidth="1"/>
    <col min="25" max="16384" width="18.6640625" style="203"/>
  </cols>
  <sheetData>
    <row r="1" spans="1:27" ht="37.5" customHeight="1">
      <c r="A1" s="1036" t="s">
        <v>178</v>
      </c>
      <c r="B1" s="1036"/>
      <c r="C1" s="506" t="str">
        <f>TBS_FH</f>
        <v/>
      </c>
      <c r="D1" s="504"/>
      <c r="E1" s="504"/>
      <c r="F1" s="504"/>
      <c r="G1" s="504"/>
      <c r="H1" s="504"/>
      <c r="I1" s="504"/>
      <c r="J1" s="504"/>
      <c r="K1" s="504"/>
      <c r="L1" s="504"/>
      <c r="M1" s="504"/>
      <c r="N1" s="504"/>
      <c r="O1" s="504"/>
      <c r="P1" s="504"/>
      <c r="Q1" s="504"/>
      <c r="R1" s="1037" t="str">
        <f>"Ermittelter Baubedarf:"&amp;CHAR(10)&amp;VA_BBGESAMT</f>
        <v>Ermittelter Baubedarf:
es fehlen noch Daten</v>
      </c>
      <c r="S1" s="1038"/>
      <c r="T1" s="1038"/>
      <c r="U1" s="507"/>
      <c r="Y1" s="1034" t="s">
        <v>779</v>
      </c>
      <c r="Z1" s="1034"/>
      <c r="AA1" s="1034"/>
    </row>
    <row r="2" spans="1:27" ht="4" customHeight="1">
      <c r="A2" s="204"/>
      <c r="B2" s="205"/>
      <c r="C2" s="205"/>
      <c r="D2" s="204"/>
      <c r="E2" s="204"/>
      <c r="F2" s="204"/>
      <c r="G2" s="204"/>
      <c r="H2" s="204"/>
      <c r="I2" s="204"/>
      <c r="J2" s="204"/>
      <c r="K2" s="204"/>
      <c r="L2" s="204"/>
      <c r="M2" s="204"/>
      <c r="N2" s="204"/>
      <c r="O2" s="204"/>
      <c r="P2" s="204"/>
      <c r="Q2" s="204"/>
      <c r="R2" s="204"/>
      <c r="S2" s="204"/>
      <c r="T2" s="204"/>
      <c r="U2" s="204"/>
      <c r="V2" s="204"/>
      <c r="W2" s="204"/>
    </row>
    <row r="3" spans="1:27" ht="4" customHeight="1">
      <c r="B3" s="206"/>
      <c r="C3" s="206"/>
      <c r="W3" s="204"/>
    </row>
    <row r="4" spans="1:27" ht="14" customHeight="1" thickBot="1">
      <c r="W4" s="204"/>
    </row>
    <row r="5" spans="1:27" ht="14" customHeight="1">
      <c r="B5" s="207"/>
      <c r="C5" s="208"/>
      <c r="D5" s="208"/>
      <c r="E5" s="208"/>
      <c r="F5" s="208"/>
      <c r="G5" s="208"/>
      <c r="H5" s="208"/>
      <c r="I5" s="208"/>
      <c r="J5" s="713"/>
      <c r="K5" s="654"/>
      <c r="L5" s="654"/>
      <c r="M5" s="654"/>
      <c r="N5" s="654"/>
      <c r="O5" s="654"/>
      <c r="P5" s="654"/>
      <c r="Q5" s="654"/>
      <c r="R5" s="654"/>
      <c r="S5" s="654"/>
      <c r="T5" s="654"/>
      <c r="U5" s="676"/>
      <c r="W5" s="204"/>
    </row>
    <row r="6" spans="1:27" ht="18" customHeight="1">
      <c r="B6" s="210"/>
      <c r="C6" s="202" t="s">
        <v>683</v>
      </c>
      <c r="D6" s="212"/>
      <c r="E6" s="212"/>
      <c r="F6" s="212"/>
      <c r="G6" s="212"/>
      <c r="H6" s="212"/>
      <c r="I6" s="212"/>
      <c r="J6" s="221"/>
      <c r="K6" s="226"/>
      <c r="L6" s="226"/>
      <c r="M6" s="659" t="s">
        <v>617</v>
      </c>
      <c r="N6" s="1778"/>
      <c r="O6" s="1779"/>
      <c r="P6" s="1779"/>
      <c r="Q6" s="1779"/>
      <c r="R6" s="1779"/>
      <c r="S6" s="1779"/>
      <c r="T6" s="1780"/>
      <c r="U6" s="413"/>
      <c r="W6" s="204"/>
    </row>
    <row r="7" spans="1:27" ht="6" customHeight="1">
      <c r="B7" s="210"/>
      <c r="C7" s="202"/>
      <c r="D7" s="212"/>
      <c r="E7" s="212"/>
      <c r="F7" s="212"/>
      <c r="G7" s="212"/>
      <c r="H7" s="212"/>
      <c r="I7" s="212"/>
      <c r="J7" s="221"/>
      <c r="K7" s="226"/>
      <c r="L7" s="226"/>
      <c r="M7" s="659"/>
      <c r="N7" s="226"/>
      <c r="O7" s="226"/>
      <c r="P7" s="226"/>
      <c r="Q7" s="226"/>
      <c r="R7" s="226"/>
      <c r="S7" s="226"/>
      <c r="T7" s="226"/>
      <c r="U7" s="413"/>
      <c r="W7" s="204"/>
    </row>
    <row r="8" spans="1:27" ht="18" customHeight="1">
      <c r="B8" s="210"/>
      <c r="C8" s="202" t="s">
        <v>684</v>
      </c>
      <c r="D8" s="212"/>
      <c r="E8" s="212"/>
      <c r="F8" s="212"/>
      <c r="G8" s="212"/>
      <c r="H8" s="212"/>
      <c r="I8" s="212"/>
      <c r="J8" s="221"/>
      <c r="K8" s="226"/>
      <c r="L8" s="226"/>
      <c r="M8" s="659" t="s">
        <v>618</v>
      </c>
      <c r="N8" s="1775"/>
      <c r="O8" s="1776"/>
      <c r="P8" s="1776"/>
      <c r="Q8" s="1776"/>
      <c r="R8" s="1776"/>
      <c r="S8" s="1776"/>
      <c r="T8" s="1777"/>
      <c r="U8" s="413"/>
      <c r="W8" s="204"/>
    </row>
    <row r="9" spans="1:27" ht="6" customHeight="1">
      <c r="B9" s="210"/>
      <c r="C9" s="202"/>
      <c r="D9" s="212"/>
      <c r="E9" s="212"/>
      <c r="F9" s="212"/>
      <c r="G9" s="212"/>
      <c r="H9" s="212"/>
      <c r="I9" s="212"/>
      <c r="J9" s="221"/>
      <c r="K9" s="226"/>
      <c r="L9" s="226"/>
      <c r="M9" s="659"/>
      <c r="N9" s="226"/>
      <c r="O9" s="226"/>
      <c r="P9" s="226"/>
      <c r="Q9" s="226"/>
      <c r="R9" s="226"/>
      <c r="S9" s="226"/>
      <c r="T9" s="226"/>
      <c r="U9" s="413"/>
      <c r="W9" s="204"/>
    </row>
    <row r="10" spans="1:27" ht="18" customHeight="1">
      <c r="B10" s="210"/>
      <c r="C10" s="202" t="s">
        <v>636</v>
      </c>
      <c r="D10" s="212"/>
      <c r="E10" s="212"/>
      <c r="F10" s="212"/>
      <c r="G10" s="212"/>
      <c r="H10" s="212"/>
      <c r="I10" s="212"/>
      <c r="J10" s="221"/>
      <c r="K10" s="226"/>
      <c r="L10" s="226"/>
      <c r="M10" s="659" t="s">
        <v>695</v>
      </c>
      <c r="N10" s="1778"/>
      <c r="O10" s="1779"/>
      <c r="P10" s="1779"/>
      <c r="Q10" s="1779"/>
      <c r="R10" s="1779"/>
      <c r="S10" s="1779"/>
      <c r="T10" s="1780"/>
      <c r="U10" s="413"/>
      <c r="W10" s="204"/>
    </row>
    <row r="11" spans="1:27" ht="6" customHeight="1">
      <c r="B11" s="210"/>
      <c r="C11" s="202"/>
      <c r="D11" s="212"/>
      <c r="E11" s="652"/>
      <c r="F11" s="212"/>
      <c r="G11" s="212"/>
      <c r="H11" s="212"/>
      <c r="I11" s="212"/>
      <c r="J11" s="221"/>
      <c r="K11" s="226"/>
      <c r="L11" s="226"/>
      <c r="M11" s="659"/>
      <c r="N11" s="226"/>
      <c r="O11" s="226"/>
      <c r="P11" s="226"/>
      <c r="Q11" s="226"/>
      <c r="R11" s="226"/>
      <c r="S11" s="226"/>
      <c r="T11" s="226"/>
      <c r="U11" s="413"/>
      <c r="W11" s="204"/>
    </row>
    <row r="12" spans="1:27" ht="18" customHeight="1">
      <c r="B12" s="210"/>
      <c r="C12" s="202" t="s">
        <v>685</v>
      </c>
      <c r="D12" s="212"/>
      <c r="E12" s="652"/>
      <c r="F12" s="212"/>
      <c r="G12" s="212"/>
      <c r="H12" s="212"/>
      <c r="I12" s="212"/>
      <c r="J12" s="221"/>
      <c r="K12" s="226"/>
      <c r="L12" s="226"/>
      <c r="M12" s="659" t="s">
        <v>621</v>
      </c>
      <c r="N12" s="1778"/>
      <c r="O12" s="1779"/>
      <c r="P12" s="1779"/>
      <c r="Q12" s="1779"/>
      <c r="R12" s="1779"/>
      <c r="S12" s="1779"/>
      <c r="T12" s="1780"/>
      <c r="U12" s="413"/>
      <c r="W12" s="204"/>
    </row>
    <row r="13" spans="1:27" ht="6" customHeight="1">
      <c r="B13" s="210"/>
      <c r="C13" s="202"/>
      <c r="D13" s="212"/>
      <c r="E13" s="212"/>
      <c r="F13" s="212"/>
      <c r="G13" s="212"/>
      <c r="H13" s="212"/>
      <c r="I13" s="212"/>
      <c r="J13" s="221"/>
      <c r="K13" s="226"/>
      <c r="L13" s="226"/>
      <c r="M13" s="660"/>
      <c r="N13" s="226"/>
      <c r="O13" s="226"/>
      <c r="P13" s="226"/>
      <c r="Q13" s="226"/>
      <c r="R13" s="226"/>
      <c r="S13" s="226"/>
      <c r="T13" s="226"/>
      <c r="U13" s="413"/>
      <c r="W13" s="204"/>
    </row>
    <row r="14" spans="1:27" ht="18" customHeight="1">
      <c r="B14" s="210"/>
      <c r="C14" s="202" t="s">
        <v>637</v>
      </c>
      <c r="D14" s="212"/>
      <c r="E14" s="212"/>
      <c r="F14" s="212"/>
      <c r="G14" s="212"/>
      <c r="H14" s="212"/>
      <c r="I14" s="212"/>
      <c r="J14" s="221"/>
      <c r="K14" s="226"/>
      <c r="L14" s="226"/>
      <c r="M14" s="659" t="s">
        <v>622</v>
      </c>
      <c r="N14" s="1778"/>
      <c r="O14" s="1779"/>
      <c r="P14" s="1779"/>
      <c r="Q14" s="1779"/>
      <c r="R14" s="1779"/>
      <c r="S14" s="1779"/>
      <c r="T14" s="1780"/>
      <c r="U14" s="413"/>
      <c r="W14" s="204"/>
    </row>
    <row r="15" spans="1:27" ht="14" customHeight="1" thickBot="1">
      <c r="B15" s="222"/>
      <c r="C15" s="223"/>
      <c r="D15" s="223"/>
      <c r="E15" s="223"/>
      <c r="F15" s="223"/>
      <c r="G15" s="223"/>
      <c r="H15" s="223"/>
      <c r="I15" s="223"/>
      <c r="J15" s="223"/>
      <c r="K15" s="661"/>
      <c r="L15" s="656"/>
      <c r="M15" s="656"/>
      <c r="N15" s="656"/>
      <c r="O15" s="656"/>
      <c r="P15" s="656"/>
      <c r="Q15" s="656"/>
      <c r="R15" s="656"/>
      <c r="S15" s="656"/>
      <c r="T15" s="656"/>
      <c r="U15" s="657"/>
      <c r="W15" s="204"/>
    </row>
    <row r="16" spans="1:27" ht="18" customHeight="1" thickBot="1">
      <c r="B16" s="226"/>
      <c r="C16" s="358"/>
      <c r="D16" s="225"/>
      <c r="E16" s="225"/>
      <c r="F16" s="225"/>
      <c r="G16" s="225"/>
      <c r="H16" s="225"/>
      <c r="I16" s="225"/>
      <c r="J16" s="225"/>
      <c r="K16" s="225"/>
      <c r="L16" s="225"/>
      <c r="M16" s="225"/>
      <c r="N16" s="225"/>
      <c r="O16" s="225"/>
      <c r="P16" s="225"/>
      <c r="Q16" s="225"/>
      <c r="R16" s="225"/>
      <c r="S16" s="225"/>
      <c r="T16" s="225"/>
      <c r="U16" s="654"/>
      <c r="W16" s="204"/>
    </row>
    <row r="17" spans="2:24" ht="32" customHeight="1" thickBot="1">
      <c r="B17" s="1700" t="str">
        <f>IF(VA_KOSTENANALYSE=2,"Sie können keinen Kurzbericht erstellen, wenn Sie eine Kostenanalyse mit eigenen Bestandsdaten durchführen (Teil D).",IF(
OR(VA_FEHLERMODUL=1,VA_FEHLER_AB=1,VA_FEHLER_CD=1,VA_FEHLER_D&gt;0),"Es fehlen noch Daten, bitte Teile A bis D prüfen. Kurzbericht kann nicht erstellt werden.",
"Druck / PDF: bitte nutzen Sie die Druckfunktion von Excel (im Menü oder Tastenkürzel Strg + P) – es wird nur der Kurzbericht unten ausgedruckt"))</f>
        <v>Es fehlen noch Daten, bitte Teile A bis D prüfen. Kurzbericht kann nicht erstellt werden.</v>
      </c>
      <c r="C17" s="1701"/>
      <c r="D17" s="1701"/>
      <c r="E17" s="1701"/>
      <c r="F17" s="1701"/>
      <c r="G17" s="1701"/>
      <c r="H17" s="1701"/>
      <c r="I17" s="1701"/>
      <c r="J17" s="1701"/>
      <c r="K17" s="1701"/>
      <c r="L17" s="1701"/>
      <c r="M17" s="1701"/>
      <c r="N17" s="1701"/>
      <c r="O17" s="1701"/>
      <c r="P17" s="1701"/>
      <c r="Q17" s="1701"/>
      <c r="R17" s="1701"/>
      <c r="S17" s="1701"/>
      <c r="T17" s="1701"/>
      <c r="U17" s="1702"/>
      <c r="W17" s="204"/>
    </row>
    <row r="18" spans="2:24" ht="18" customHeight="1" thickBot="1">
      <c r="B18" s="656"/>
      <c r="C18" s="240"/>
      <c r="D18" s="656"/>
      <c r="E18" s="656"/>
      <c r="F18" s="656"/>
      <c r="G18" s="656"/>
      <c r="H18" s="656"/>
      <c r="I18" s="656"/>
      <c r="J18" s="656"/>
      <c r="K18" s="656"/>
      <c r="L18" s="656"/>
      <c r="M18" s="656"/>
      <c r="N18" s="656"/>
      <c r="O18" s="656"/>
      <c r="P18" s="656"/>
      <c r="Q18" s="656"/>
      <c r="R18" s="656"/>
      <c r="S18" s="656"/>
      <c r="T18" s="656"/>
      <c r="U18" s="656"/>
      <c r="W18" s="204"/>
      <c r="X18" s="504"/>
    </row>
    <row r="19" spans="2:24" ht="18" customHeight="1">
      <c r="B19" s="719"/>
      <c r="C19" s="738"/>
      <c r="D19" s="738"/>
      <c r="E19" s="738"/>
      <c r="F19" s="738"/>
      <c r="G19" s="738"/>
      <c r="H19" s="738"/>
      <c r="I19" s="738"/>
      <c r="J19" s="738"/>
      <c r="K19" s="738"/>
      <c r="L19" s="738"/>
      <c r="M19" s="738"/>
      <c r="N19" s="738"/>
      <c r="O19" s="738"/>
      <c r="P19" s="738"/>
      <c r="Q19" s="738"/>
      <c r="R19" s="738"/>
      <c r="S19" s="738"/>
      <c r="T19" s="738"/>
      <c r="U19" s="739"/>
      <c r="W19" s="204"/>
      <c r="X19" s="504"/>
    </row>
    <row r="20" spans="2:24" ht="18" customHeight="1">
      <c r="B20" s="715"/>
      <c r="C20" s="1027" t="s">
        <v>1045</v>
      </c>
      <c r="D20" s="716"/>
      <c r="E20" s="716"/>
      <c r="F20" s="716"/>
      <c r="G20" s="1830" t="str">
        <f>IF(VA_VERKEHRSSTATION="","Standortname wurde nicht eingegeben. Bitte Teil A prüfen.",VA_VERKEHRSSTATION)</f>
        <v>Standortname wurde nicht eingegeben. Bitte Teil A prüfen.</v>
      </c>
      <c r="H20" s="1831"/>
      <c r="I20" s="1831"/>
      <c r="J20" s="1831"/>
      <c r="K20" s="1831"/>
      <c r="L20" s="1831"/>
      <c r="M20" s="1831"/>
      <c r="N20" s="1832"/>
      <c r="O20" s="716"/>
      <c r="P20" s="716"/>
      <c r="Q20" s="716"/>
      <c r="R20" s="752" t="s">
        <v>666</v>
      </c>
      <c r="S20" s="1833">
        <f ca="1">TODAY()</f>
        <v>45666</v>
      </c>
      <c r="T20" s="1733"/>
      <c r="U20" s="717"/>
      <c r="W20" s="204"/>
      <c r="X20" s="504"/>
    </row>
    <row r="21" spans="2:24" ht="6" customHeight="1">
      <c r="B21" s="715"/>
      <c r="C21" s="718"/>
      <c r="D21" s="716"/>
      <c r="E21" s="716"/>
      <c r="F21" s="716"/>
      <c r="G21" s="716"/>
      <c r="H21" s="716"/>
      <c r="I21" s="716"/>
      <c r="J21" s="716"/>
      <c r="K21" s="716"/>
      <c r="L21" s="716"/>
      <c r="M21" s="714"/>
      <c r="N21" s="716"/>
      <c r="O21" s="716"/>
      <c r="P21" s="716"/>
      <c r="Q21" s="716"/>
      <c r="R21" s="752"/>
      <c r="S21" s="716"/>
      <c r="T21" s="716"/>
      <c r="U21" s="717"/>
      <c r="W21" s="204"/>
      <c r="X21" s="504"/>
    </row>
    <row r="22" spans="2:24" ht="18" customHeight="1">
      <c r="B22" s="715"/>
      <c r="C22" s="718" t="s">
        <v>697</v>
      </c>
      <c r="D22" s="716"/>
      <c r="E22" s="716"/>
      <c r="F22" s="716"/>
      <c r="G22" s="1783" t="str">
        <f>IF(N10="","",TRIM(N10))</f>
        <v/>
      </c>
      <c r="H22" s="1784"/>
      <c r="I22" s="1784"/>
      <c r="J22" s="1784"/>
      <c r="K22" s="1784"/>
      <c r="L22" s="1784"/>
      <c r="M22" s="1784"/>
      <c r="N22" s="1785"/>
      <c r="O22" s="716"/>
      <c r="P22" s="716"/>
      <c r="Q22" s="716"/>
      <c r="R22" s="752" t="s">
        <v>653</v>
      </c>
      <c r="S22" s="1822" t="str">
        <f>V_VER1</f>
        <v>3.6</v>
      </c>
      <c r="T22" s="1733"/>
      <c r="U22" s="717"/>
      <c r="W22" s="204"/>
      <c r="X22" s="504"/>
    </row>
    <row r="23" spans="2:24" ht="6" customHeight="1">
      <c r="B23" s="715"/>
      <c r="C23" s="714"/>
      <c r="D23" s="716"/>
      <c r="E23" s="716"/>
      <c r="F23" s="716"/>
      <c r="G23" s="716"/>
      <c r="H23" s="716"/>
      <c r="I23" s="716"/>
      <c r="J23" s="716"/>
      <c r="K23" s="716"/>
      <c r="L23" s="716"/>
      <c r="M23" s="716"/>
      <c r="N23" s="716"/>
      <c r="O23" s="716"/>
      <c r="P23" s="716"/>
      <c r="Q23" s="716"/>
      <c r="R23" s="716"/>
      <c r="S23" s="716"/>
      <c r="T23" s="716"/>
      <c r="U23" s="717"/>
      <c r="W23" s="204"/>
      <c r="X23" s="504"/>
    </row>
    <row r="24" spans="2:24" ht="18" customHeight="1">
      <c r="B24" s="715"/>
      <c r="C24" s="718" t="s">
        <v>638</v>
      </c>
      <c r="D24" s="716"/>
      <c r="E24" s="716"/>
      <c r="F24" s="716"/>
      <c r="G24" s="1783" t="str">
        <f>IF(N6="","",TRIM(N6)) &amp; IF(N8="","",IF(N6="",""," / ") &amp; TRIM(N8))</f>
        <v/>
      </c>
      <c r="H24" s="1784"/>
      <c r="I24" s="1784"/>
      <c r="J24" s="1784"/>
      <c r="K24" s="1784"/>
      <c r="L24" s="1784"/>
      <c r="M24" s="1784"/>
      <c r="N24" s="1784"/>
      <c r="O24" s="1784"/>
      <c r="P24" s="1784"/>
      <c r="Q24" s="1784"/>
      <c r="R24" s="1784"/>
      <c r="S24" s="1784"/>
      <c r="T24" s="1785"/>
      <c r="U24" s="717"/>
      <c r="W24" s="204"/>
      <c r="X24" s="504"/>
    </row>
    <row r="25" spans="2:24" ht="6" customHeight="1">
      <c r="B25" s="715"/>
      <c r="C25" s="718"/>
      <c r="D25" s="716"/>
      <c r="E25" s="716"/>
      <c r="F25" s="716"/>
      <c r="G25" s="716"/>
      <c r="H25" s="716"/>
      <c r="I25" s="716"/>
      <c r="J25" s="716"/>
      <c r="K25" s="716"/>
      <c r="L25" s="716"/>
      <c r="M25" s="716"/>
      <c r="N25" s="716"/>
      <c r="O25" s="716"/>
      <c r="P25" s="716"/>
      <c r="Q25" s="716"/>
      <c r="R25" s="716"/>
      <c r="S25" s="716"/>
      <c r="T25" s="716"/>
      <c r="U25" s="717"/>
      <c r="W25" s="204"/>
      <c r="X25" s="504"/>
    </row>
    <row r="26" spans="2:24" ht="18" customHeight="1">
      <c r="B26" s="715"/>
      <c r="C26" s="718" t="s">
        <v>639</v>
      </c>
      <c r="D26" s="716"/>
      <c r="E26" s="716"/>
      <c r="F26" s="716"/>
      <c r="G26" s="1783" t="str">
        <f>IF(N12="","",TRIM(N12)) &amp; IF(N14="","",IF(N12="",""," / ") &amp; TRIM(N14))</f>
        <v/>
      </c>
      <c r="H26" s="1784"/>
      <c r="I26" s="1784"/>
      <c r="J26" s="1784"/>
      <c r="K26" s="1784"/>
      <c r="L26" s="1784"/>
      <c r="M26" s="1784"/>
      <c r="N26" s="1784"/>
      <c r="O26" s="1784"/>
      <c r="P26" s="1784"/>
      <c r="Q26" s="1784"/>
      <c r="R26" s="1784"/>
      <c r="S26" s="1784"/>
      <c r="T26" s="1785"/>
      <c r="U26" s="717"/>
      <c r="W26" s="204"/>
      <c r="X26" s="504"/>
    </row>
    <row r="27" spans="2:24" ht="6" customHeight="1">
      <c r="B27" s="715"/>
      <c r="C27" s="718"/>
      <c r="D27" s="716"/>
      <c r="E27" s="716"/>
      <c r="F27" s="716"/>
      <c r="G27" s="906"/>
      <c r="H27" s="906"/>
      <c r="I27" s="906"/>
      <c r="J27" s="906"/>
      <c r="K27" s="906"/>
      <c r="L27" s="906"/>
      <c r="M27" s="906"/>
      <c r="N27" s="906"/>
      <c r="O27" s="906"/>
      <c r="P27" s="906"/>
      <c r="Q27" s="906"/>
      <c r="R27" s="906"/>
      <c r="S27" s="906"/>
      <c r="T27" s="906"/>
      <c r="U27" s="717"/>
      <c r="W27" s="204"/>
      <c r="X27" s="504"/>
    </row>
    <row r="28" spans="2:24" ht="18" customHeight="1">
      <c r="B28" s="715"/>
      <c r="C28" s="718" t="s">
        <v>790</v>
      </c>
      <c r="D28" s="716"/>
      <c r="E28" s="716"/>
      <c r="F28" s="716"/>
      <c r="G28" s="1783" t="str">
        <f>TBS_4</f>
        <v>(1.) ---          (2.) ---          (3.) ---          (4.) ---          (5.) ---</v>
      </c>
      <c r="H28" s="1784"/>
      <c r="I28" s="1784"/>
      <c r="J28" s="1784"/>
      <c r="K28" s="1784"/>
      <c r="L28" s="1784"/>
      <c r="M28" s="1784"/>
      <c r="N28" s="1784"/>
      <c r="O28" s="1784"/>
      <c r="P28" s="1784"/>
      <c r="Q28" s="1784"/>
      <c r="R28" s="1784"/>
      <c r="S28" s="1784"/>
      <c r="T28" s="1785"/>
      <c r="U28" s="717"/>
      <c r="W28" s="204"/>
      <c r="X28" s="504"/>
    </row>
    <row r="29" spans="2:24" ht="14" customHeight="1" thickBot="1">
      <c r="B29" s="715"/>
      <c r="C29" s="740"/>
      <c r="D29" s="741"/>
      <c r="E29" s="741"/>
      <c r="F29" s="741"/>
      <c r="G29" s="741"/>
      <c r="H29" s="741"/>
      <c r="I29" s="741"/>
      <c r="J29" s="741"/>
      <c r="K29" s="741"/>
      <c r="L29" s="741"/>
      <c r="M29" s="741"/>
      <c r="N29" s="741"/>
      <c r="O29" s="741"/>
      <c r="P29" s="741"/>
      <c r="Q29" s="741"/>
      <c r="R29" s="741"/>
      <c r="S29" s="741"/>
      <c r="T29" s="741"/>
      <c r="U29" s="717"/>
      <c r="W29" s="204"/>
      <c r="X29" s="504"/>
    </row>
    <row r="30" spans="2:24" ht="14" customHeight="1">
      <c r="B30" s="715"/>
      <c r="C30" s="718"/>
      <c r="D30" s="716"/>
      <c r="E30" s="716"/>
      <c r="F30" s="716"/>
      <c r="G30" s="716"/>
      <c r="H30" s="716"/>
      <c r="I30" s="716"/>
      <c r="J30" s="716"/>
      <c r="K30" s="716"/>
      <c r="L30" s="716"/>
      <c r="M30" s="716"/>
      <c r="N30" s="716"/>
      <c r="O30" s="716"/>
      <c r="P30" s="716"/>
      <c r="Q30" s="716"/>
      <c r="R30" s="716"/>
      <c r="S30" s="716"/>
      <c r="T30" s="716"/>
      <c r="U30" s="717"/>
      <c r="W30" s="204"/>
      <c r="X30" s="504"/>
    </row>
    <row r="31" spans="2:24" ht="18" customHeight="1">
      <c r="B31" s="715"/>
      <c r="C31" s="759" t="s">
        <v>640</v>
      </c>
      <c r="D31" s="716"/>
      <c r="E31" s="716"/>
      <c r="F31" s="716"/>
      <c r="G31" s="716"/>
      <c r="H31" s="716"/>
      <c r="I31" s="716"/>
      <c r="J31" s="752" t="s">
        <v>643</v>
      </c>
      <c r="K31" s="1786" t="str">
        <f>IF(VA_BESTANDSEINGABE=0,"",VA_BESTANDSEINGABE)</f>
        <v/>
      </c>
      <c r="L31" s="1787"/>
      <c r="M31" s="716"/>
      <c r="N31" s="716"/>
      <c r="O31" s="752" t="s">
        <v>658</v>
      </c>
      <c r="P31" s="1822" t="str">
        <f>IF(VA_BESTANDSEINGABE=0,"",IF(
VA_BESTANDSEINGABE=1,"für eine Bahnhofsseite",IF(
VA_ZUSAMMEN=1,intern!B170,intern!B169)))</f>
        <v/>
      </c>
      <c r="Q31" s="1732"/>
      <c r="R31" s="1732"/>
      <c r="S31" s="1732"/>
      <c r="T31" s="1733"/>
      <c r="U31" s="717"/>
      <c r="W31" s="204"/>
      <c r="X31" s="504"/>
    </row>
    <row r="32" spans="2:24" ht="16" customHeight="1">
      <c r="B32" s="715"/>
      <c r="C32" s="734"/>
      <c r="D32" s="716"/>
      <c r="E32" s="716"/>
      <c r="F32" s="716"/>
      <c r="G32" s="716"/>
      <c r="H32" s="716"/>
      <c r="I32" s="716"/>
      <c r="J32" s="716"/>
      <c r="K32" s="716"/>
      <c r="L32" s="716"/>
      <c r="M32" s="716"/>
      <c r="N32" s="716"/>
      <c r="O32" s="716"/>
      <c r="P32" s="716"/>
      <c r="Q32" s="716"/>
      <c r="R32" s="716"/>
      <c r="S32" s="716"/>
      <c r="T32" s="716"/>
      <c r="U32" s="717"/>
      <c r="W32" s="204"/>
      <c r="X32" s="504"/>
    </row>
    <row r="33" spans="2:24" ht="18" customHeight="1">
      <c r="B33" s="715"/>
      <c r="C33" s="734" t="s">
        <v>660</v>
      </c>
      <c r="D33" s="716"/>
      <c r="E33" s="716"/>
      <c r="F33" s="716"/>
      <c r="G33" s="716"/>
      <c r="H33" s="716"/>
      <c r="I33" s="1783" t="str">
        <f>IF(VA_TFAUSWAHL=0,"",VE_TFAUSWAHL)</f>
        <v/>
      </c>
      <c r="J33" s="1784"/>
      <c r="K33" s="1784"/>
      <c r="L33" s="1784"/>
      <c r="M33" s="1784"/>
      <c r="N33" s="1785"/>
      <c r="O33" s="716"/>
      <c r="P33" s="716"/>
      <c r="Q33" s="716"/>
      <c r="R33" s="752" t="s">
        <v>665</v>
      </c>
      <c r="S33" s="1781" t="str">
        <f>IFERROR(VA_TF-1,"")</f>
        <v/>
      </c>
      <c r="T33" s="1782"/>
      <c r="U33" s="717"/>
      <c r="W33" s="204"/>
      <c r="X33" s="504"/>
    </row>
    <row r="34" spans="2:24" ht="6" customHeight="1">
      <c r="B34" s="715"/>
      <c r="C34" s="734"/>
      <c r="D34" s="716"/>
      <c r="E34" s="716"/>
      <c r="F34" s="716"/>
      <c r="G34" s="716"/>
      <c r="H34" s="716"/>
      <c r="I34" s="716"/>
      <c r="J34" s="716"/>
      <c r="K34" s="716"/>
      <c r="L34" s="716"/>
      <c r="M34" s="716"/>
      <c r="N34" s="716"/>
      <c r="O34" s="716"/>
      <c r="P34" s="716"/>
      <c r="Q34" s="716"/>
      <c r="R34" s="716"/>
      <c r="S34" s="716"/>
      <c r="T34" s="716"/>
      <c r="U34" s="717"/>
      <c r="W34" s="204"/>
      <c r="X34" s="504"/>
    </row>
    <row r="35" spans="2:24" ht="18" customHeight="1">
      <c r="B35" s="715"/>
      <c r="C35" s="734" t="s">
        <v>661</v>
      </c>
      <c r="D35" s="716"/>
      <c r="E35" s="716"/>
      <c r="F35" s="716"/>
      <c r="G35" s="716"/>
      <c r="H35" s="716"/>
      <c r="I35" s="1783" t="str">
        <f>IF(VA_TFAUSWAHL=0,"",IF(
VA_TFAUSWAHL=1,"Ein- und Aussteiger heute / Prognose:    " &amp; TEXT(VP_0_EAHEUTE,"#.##0") &amp; " / " &amp; TEXT(VP_1_DBEA2040,"#.##0"),IF(
VA_TFAUSWAHL=2,"Ein- und Aussteiger heute / im Prognosejahr " &amp; VP_2_RVJAHR &amp; ":    " &amp; TEXT(VP_0_EAHEUTE,"#.##0") &amp; " / " &amp; IF(VP_2_RVEA="",IF(VP_2_RVTF&gt;0,"+","") &amp; VP_2_RVTF &amp; " %",TEXT(VP_2_RVEA,"#.##0")),IF(
VA_TFAUSWAHL=3,"Einwohnerzahl heute / im Prognosejahr " &amp; VP_3_BVJAHR &amp; ":    " &amp; TEXT(VP_3_BVHEUTE,"#.##0") &amp; " / " &amp; IF(VP_3_BVZUKUNFT="",IF(VP_3_BVTF&gt;0,"+","") &amp; VP_3_BVTF &amp; " %",TEXT(VP_3_BVZUKUNFT,"#.##0")) &amp; "   |   Umweltverbund " &amp; VE_3_UVB,"keine Angabe bei manueller Eingabe"))))</f>
        <v/>
      </c>
      <c r="J35" s="1784"/>
      <c r="K35" s="1784"/>
      <c r="L35" s="1784"/>
      <c r="M35" s="1784"/>
      <c r="N35" s="1784"/>
      <c r="O35" s="1784"/>
      <c r="P35" s="1784"/>
      <c r="Q35" s="1784"/>
      <c r="R35" s="1784"/>
      <c r="S35" s="1784"/>
      <c r="T35" s="1785"/>
      <c r="U35" s="717"/>
      <c r="W35" s="204"/>
      <c r="X35" s="504"/>
    </row>
    <row r="36" spans="2:24" ht="16" customHeight="1">
      <c r="B36" s="715"/>
      <c r="C36" s="734"/>
      <c r="D36" s="716"/>
      <c r="E36" s="716"/>
      <c r="F36" s="716"/>
      <c r="G36" s="716"/>
      <c r="H36" s="716"/>
      <c r="I36" s="716"/>
      <c r="J36" s="716"/>
      <c r="K36" s="716"/>
      <c r="L36" s="716"/>
      <c r="M36" s="716"/>
      <c r="N36" s="716"/>
      <c r="O36" s="716"/>
      <c r="P36" s="716"/>
      <c r="Q36" s="716"/>
      <c r="R36" s="716"/>
      <c r="S36" s="716"/>
      <c r="T36" s="716"/>
      <c r="U36" s="717"/>
      <c r="W36" s="204"/>
      <c r="X36" s="504"/>
    </row>
    <row r="37" spans="2:24" ht="18" customHeight="1">
      <c r="B37" s="715"/>
      <c r="C37" s="1834" t="s">
        <v>766</v>
      </c>
      <c r="D37" s="1834"/>
      <c r="E37" s="1834"/>
      <c r="F37" s="1835"/>
      <c r="G37" s="734"/>
      <c r="H37" s="716"/>
      <c r="I37" s="716"/>
      <c r="J37" s="716"/>
      <c r="K37" s="716"/>
      <c r="L37" s="752" t="s">
        <v>767</v>
      </c>
      <c r="M37" s="1822" t="str">
        <f>IF(VP_5_SICH_BESTAND_VORHANDEN=1,"---",VE_5_ERSTMALIGSICHER)</f>
        <v>nein</v>
      </c>
      <c r="N37" s="1733"/>
      <c r="O37" s="716"/>
      <c r="R37" s="752" t="s">
        <v>662</v>
      </c>
      <c r="S37" s="1822" t="str">
        <f>VE_5_DIEBSTAHL</f>
        <v>nein</v>
      </c>
      <c r="T37" s="1733"/>
      <c r="U37" s="717"/>
      <c r="W37" s="204"/>
      <c r="X37" s="504"/>
    </row>
    <row r="38" spans="2:24" ht="6" customHeight="1">
      <c r="B38" s="715"/>
      <c r="C38" s="1834"/>
      <c r="D38" s="1834"/>
      <c r="E38" s="1834"/>
      <c r="F38" s="1835"/>
      <c r="G38" s="734"/>
      <c r="H38" s="716"/>
      <c r="I38" s="716"/>
      <c r="J38" s="716"/>
      <c r="K38" s="716"/>
      <c r="L38" s="752"/>
      <c r="M38" s="716"/>
      <c r="N38" s="716"/>
      <c r="O38" s="716"/>
      <c r="R38" s="752"/>
      <c r="S38" s="716"/>
      <c r="T38" s="716"/>
      <c r="U38" s="717"/>
      <c r="W38" s="204"/>
      <c r="X38" s="504"/>
    </row>
    <row r="39" spans="2:24" ht="18" customHeight="1">
      <c r="B39" s="715"/>
      <c r="C39" s="1834"/>
      <c r="D39" s="1834"/>
      <c r="E39" s="1834"/>
      <c r="F39" s="1835"/>
      <c r="G39" s="734"/>
      <c r="H39" s="716"/>
      <c r="I39" s="716"/>
      <c r="J39" s="716"/>
      <c r="K39" s="716"/>
      <c r="L39" s="752" t="s">
        <v>664</v>
      </c>
      <c r="M39" s="1822" t="str">
        <f>VE_5_ENTGELTFREI</f>
        <v>nein</v>
      </c>
      <c r="N39" s="1733"/>
      <c r="O39" s="716"/>
      <c r="R39" s="752" t="s">
        <v>663</v>
      </c>
      <c r="S39" s="1822" t="str">
        <f>VE_5_PENDLER</f>
        <v>nein</v>
      </c>
      <c r="T39" s="1733"/>
      <c r="U39" s="717"/>
      <c r="W39" s="204"/>
      <c r="X39" s="504"/>
    </row>
    <row r="40" spans="2:24" ht="24" customHeight="1">
      <c r="B40" s="715"/>
      <c r="C40" s="734"/>
      <c r="D40" s="716"/>
      <c r="E40" s="716"/>
      <c r="F40" s="716"/>
      <c r="G40" s="716"/>
      <c r="H40" s="716"/>
      <c r="I40" s="716"/>
      <c r="J40" s="716"/>
      <c r="K40" s="716"/>
      <c r="L40" s="742"/>
      <c r="M40" s="742"/>
      <c r="N40" s="742"/>
      <c r="O40" s="742"/>
      <c r="P40" s="742"/>
      <c r="Q40" s="742"/>
      <c r="R40" s="742"/>
      <c r="S40" s="742"/>
      <c r="T40" s="716"/>
      <c r="U40" s="717"/>
      <c r="W40" s="204"/>
      <c r="X40" s="504"/>
    </row>
    <row r="41" spans="2:24" ht="18" customHeight="1">
      <c r="B41" s="715"/>
      <c r="C41" s="760" t="s">
        <v>654</v>
      </c>
      <c r="D41" s="716"/>
      <c r="E41" s="716"/>
      <c r="F41" s="716"/>
      <c r="G41" s="716"/>
      <c r="H41" s="716"/>
      <c r="I41" s="716"/>
      <c r="J41" s="716"/>
      <c r="K41" s="716"/>
      <c r="L41" s="742"/>
      <c r="M41" s="742"/>
      <c r="N41" s="742"/>
      <c r="O41" s="742"/>
      <c r="P41" s="742"/>
      <c r="Q41" s="742"/>
      <c r="R41" s="742"/>
      <c r="S41" s="742"/>
      <c r="T41" s="716"/>
      <c r="U41" s="717"/>
      <c r="W41" s="204"/>
      <c r="X41" s="504"/>
    </row>
    <row r="42" spans="2:24" ht="12" customHeight="1">
      <c r="B42" s="715"/>
      <c r="C42" s="734"/>
      <c r="D42" s="716"/>
      <c r="E42" s="716"/>
      <c r="F42" s="716"/>
      <c r="G42" s="716"/>
      <c r="H42" s="716"/>
      <c r="I42" s="716"/>
      <c r="J42" s="716"/>
      <c r="K42" s="716"/>
      <c r="L42" s="742"/>
      <c r="M42" s="742"/>
      <c r="N42" s="742"/>
      <c r="O42" s="742"/>
      <c r="P42" s="742"/>
      <c r="Q42" s="742"/>
      <c r="R42" s="742"/>
      <c r="S42" s="742"/>
      <c r="T42" s="716"/>
      <c r="U42" s="717"/>
      <c r="W42" s="204"/>
      <c r="X42" s="504"/>
    </row>
    <row r="43" spans="2:24" ht="24" customHeight="1">
      <c r="B43" s="715"/>
      <c r="C43" s="1818" t="str">
        <f>'C ▪ Ergebnisjustierung'!C8</f>
        <v>Zusammenfassung beider Bahnhofsseiten</v>
      </c>
      <c r="D43" s="1818"/>
      <c r="E43" s="1818"/>
      <c r="F43" s="1818"/>
      <c r="G43" s="1818"/>
      <c r="H43" s="1818"/>
      <c r="I43" s="1818"/>
      <c r="J43" s="1818"/>
      <c r="K43" s="720"/>
      <c r="L43" s="714"/>
      <c r="M43" s="1818" t="str">
        <f>'C ▪ Ergebnisjustierung'!M8</f>
        <v>Bezeichnung der Bahnhofsseite fehlt</v>
      </c>
      <c r="N43" s="1818"/>
      <c r="O43" s="1818"/>
      <c r="P43" s="1818"/>
      <c r="Q43" s="1818"/>
      <c r="R43" s="1818"/>
      <c r="S43" s="1818"/>
      <c r="T43" s="1818"/>
      <c r="U43" s="717"/>
      <c r="W43" s="204"/>
      <c r="X43" s="504"/>
    </row>
    <row r="44" spans="2:24" ht="18" customHeight="1" thickBot="1">
      <c r="B44" s="715"/>
      <c r="C44" s="718"/>
      <c r="D44" s="716"/>
      <c r="E44" s="716"/>
      <c r="F44" s="716"/>
      <c r="G44" s="716"/>
      <c r="H44" s="716"/>
      <c r="I44" s="716"/>
      <c r="J44" s="716"/>
      <c r="K44" s="721"/>
      <c r="L44" s="716"/>
      <c r="M44" s="716"/>
      <c r="N44" s="716"/>
      <c r="O44" s="716"/>
      <c r="P44" s="716"/>
      <c r="Q44" s="716"/>
      <c r="R44" s="716"/>
      <c r="S44" s="716"/>
      <c r="T44" s="716"/>
      <c r="U44" s="717"/>
      <c r="W44" s="204"/>
      <c r="X44" s="504"/>
    </row>
    <row r="45" spans="2:24" ht="36" customHeight="1" thickBot="1">
      <c r="B45" s="715"/>
      <c r="C45" s="1797" t="s">
        <v>249</v>
      </c>
      <c r="D45" s="1798"/>
      <c r="E45" s="1798"/>
      <c r="F45" s="1798"/>
      <c r="G45" s="1799"/>
      <c r="H45" s="722" t="s">
        <v>470</v>
      </c>
      <c r="I45" s="723" t="s">
        <v>642</v>
      </c>
      <c r="J45" s="724" t="s">
        <v>641</v>
      </c>
      <c r="K45" s="721"/>
      <c r="L45" s="721"/>
      <c r="M45" s="1797" t="s">
        <v>249</v>
      </c>
      <c r="N45" s="1798"/>
      <c r="O45" s="1798"/>
      <c r="P45" s="1798"/>
      <c r="Q45" s="1799"/>
      <c r="R45" s="722" t="s">
        <v>470</v>
      </c>
      <c r="S45" s="723" t="s">
        <v>642</v>
      </c>
      <c r="T45" s="724" t="s">
        <v>641</v>
      </c>
      <c r="U45" s="717"/>
      <c r="W45" s="204"/>
      <c r="X45" s="504"/>
    </row>
    <row r="46" spans="2:24" ht="18" customHeight="1">
      <c r="B46" s="715"/>
      <c r="C46" s="1800" t="s">
        <v>755</v>
      </c>
      <c r="D46" s="1801"/>
      <c r="E46" s="1801"/>
      <c r="F46" s="1801"/>
      <c r="G46" s="1802"/>
      <c r="H46" s="725">
        <f>'C ▪ Ergebnisjustierung'!H28</f>
        <v>0</v>
      </c>
      <c r="I46" s="726">
        <f>'C ▪ Ergebnisjustierung'!I28</f>
        <v>0</v>
      </c>
      <c r="J46" s="727" t="str">
        <f>'C ▪ Ergebnisjustierung'!J28</f>
        <v/>
      </c>
      <c r="K46" s="720"/>
      <c r="L46" s="720"/>
      <c r="M46" s="1800" t="s">
        <v>755</v>
      </c>
      <c r="N46" s="1801"/>
      <c r="O46" s="1801"/>
      <c r="P46" s="1801"/>
      <c r="Q46" s="1802"/>
      <c r="R46" s="728">
        <f>'C ▪ Ergebnisjustierung'!R28</f>
        <v>0</v>
      </c>
      <c r="S46" s="729">
        <f>'C ▪ Ergebnisjustierung'!S28</f>
        <v>0</v>
      </c>
      <c r="T46" s="730" t="str">
        <f>'C ▪ Ergebnisjustierung'!T28</f>
        <v/>
      </c>
      <c r="U46" s="717"/>
      <c r="W46" s="204"/>
      <c r="X46" s="504"/>
    </row>
    <row r="47" spans="2:24" ht="18" customHeight="1">
      <c r="B47" s="715"/>
      <c r="C47" s="1791" t="s">
        <v>756</v>
      </c>
      <c r="D47" s="1792"/>
      <c r="E47" s="1792"/>
      <c r="F47" s="1792"/>
      <c r="G47" s="1793"/>
      <c r="H47" s="725">
        <f>'C ▪ Ergebnisjustierung'!H29</f>
        <v>0</v>
      </c>
      <c r="I47" s="726">
        <f>'C ▪ Ergebnisjustierung'!I29</f>
        <v>0</v>
      </c>
      <c r="J47" s="727" t="str">
        <f>'C ▪ Ergebnisjustierung'!J29</f>
        <v/>
      </c>
      <c r="K47" s="720"/>
      <c r="L47" s="720"/>
      <c r="M47" s="1791" t="s">
        <v>756</v>
      </c>
      <c r="N47" s="1792"/>
      <c r="O47" s="1792"/>
      <c r="P47" s="1792"/>
      <c r="Q47" s="1793"/>
      <c r="R47" s="725">
        <f>'C ▪ Ergebnisjustierung'!R29</f>
        <v>0</v>
      </c>
      <c r="S47" s="729">
        <f>'C ▪ Ergebnisjustierung'!S29</f>
        <v>0</v>
      </c>
      <c r="T47" s="727" t="str">
        <f>'C ▪ Ergebnisjustierung'!T29</f>
        <v/>
      </c>
      <c r="U47" s="717"/>
      <c r="W47" s="204"/>
      <c r="X47" s="504"/>
    </row>
    <row r="48" spans="2:24" ht="18" customHeight="1">
      <c r="B48" s="715"/>
      <c r="C48" s="1791" t="s">
        <v>2</v>
      </c>
      <c r="D48" s="1792"/>
      <c r="E48" s="1792"/>
      <c r="F48" s="1792"/>
      <c r="G48" s="1793"/>
      <c r="H48" s="725">
        <f>'C ▪ Ergebnisjustierung'!H30</f>
        <v>0</v>
      </c>
      <c r="I48" s="726">
        <f>'C ▪ Ergebnisjustierung'!I30</f>
        <v>0</v>
      </c>
      <c r="J48" s="727" t="str">
        <f>'C ▪ Ergebnisjustierung'!J30</f>
        <v/>
      </c>
      <c r="K48" s="720"/>
      <c r="L48" s="720"/>
      <c r="M48" s="1791" t="s">
        <v>2</v>
      </c>
      <c r="N48" s="1792"/>
      <c r="O48" s="1792"/>
      <c r="P48" s="1792"/>
      <c r="Q48" s="1793"/>
      <c r="R48" s="725">
        <f>'C ▪ Ergebnisjustierung'!R30</f>
        <v>0</v>
      </c>
      <c r="S48" s="729">
        <f>'C ▪ Ergebnisjustierung'!S30</f>
        <v>0</v>
      </c>
      <c r="T48" s="727" t="str">
        <f>'C ▪ Ergebnisjustierung'!T30</f>
        <v/>
      </c>
      <c r="U48" s="717"/>
      <c r="W48" s="204"/>
      <c r="X48" s="504"/>
    </row>
    <row r="49" spans="2:24" ht="18" customHeight="1" thickBot="1">
      <c r="B49" s="715"/>
      <c r="C49" s="1794" t="s">
        <v>0</v>
      </c>
      <c r="D49" s="1795"/>
      <c r="E49" s="1795"/>
      <c r="F49" s="1795"/>
      <c r="G49" s="1796"/>
      <c r="H49" s="731" t="s">
        <v>105</v>
      </c>
      <c r="I49" s="726">
        <f>'C ▪ Ergebnisjustierung'!I31</f>
        <v>0</v>
      </c>
      <c r="J49" s="732" t="s">
        <v>105</v>
      </c>
      <c r="K49" s="720"/>
      <c r="L49" s="720"/>
      <c r="M49" s="1794" t="s">
        <v>0</v>
      </c>
      <c r="N49" s="1795"/>
      <c r="O49" s="1795"/>
      <c r="P49" s="1795"/>
      <c r="Q49" s="1796"/>
      <c r="R49" s="731" t="s">
        <v>105</v>
      </c>
      <c r="S49" s="729">
        <f>'C ▪ Ergebnisjustierung'!S31</f>
        <v>0</v>
      </c>
      <c r="T49" s="733" t="s">
        <v>105</v>
      </c>
      <c r="U49" s="717"/>
      <c r="W49" s="204"/>
      <c r="X49" s="504"/>
    </row>
    <row r="50" spans="2:24" ht="21" customHeight="1" thickBot="1">
      <c r="B50" s="715"/>
      <c r="C50" s="1788" t="s">
        <v>104</v>
      </c>
      <c r="D50" s="1789"/>
      <c r="E50" s="1789"/>
      <c r="F50" s="1789"/>
      <c r="G50" s="1790"/>
      <c r="H50" s="754">
        <f>'C ▪ Ergebnisjustierung'!H32</f>
        <v>0</v>
      </c>
      <c r="I50" s="757">
        <f>'C ▪ Ergebnisjustierung'!I32</f>
        <v>0</v>
      </c>
      <c r="J50" s="758" t="str">
        <f>'C ▪ Ergebnisjustierung'!J32</f>
        <v/>
      </c>
      <c r="K50" s="720"/>
      <c r="L50" s="720"/>
      <c r="M50" s="1788" t="s">
        <v>104</v>
      </c>
      <c r="N50" s="1789"/>
      <c r="O50" s="1789"/>
      <c r="P50" s="1789"/>
      <c r="Q50" s="1790"/>
      <c r="R50" s="754">
        <f>'C ▪ Ergebnisjustierung'!R32</f>
        <v>0</v>
      </c>
      <c r="S50" s="755">
        <f>'C ▪ Ergebnisjustierung'!S32</f>
        <v>0</v>
      </c>
      <c r="T50" s="756" t="str">
        <f>'C ▪ Ergebnisjustierung'!T32</f>
        <v/>
      </c>
      <c r="U50" s="717"/>
      <c r="W50" s="204"/>
      <c r="X50" s="504"/>
    </row>
    <row r="51" spans="2:24" ht="26" customHeight="1">
      <c r="B51" s="715"/>
      <c r="C51" s="970" t="str">
        <f>IF(intern!M40&gt;0,"Nicht nutzbare Stellplätze (nicht in Gesamt enthalten):  "&amp;intern!M40,"")</f>
        <v/>
      </c>
      <c r="D51" s="716"/>
      <c r="E51" s="716"/>
      <c r="F51" s="716"/>
      <c r="G51" s="716"/>
      <c r="H51" s="716"/>
      <c r="I51" s="716"/>
      <c r="J51" s="716"/>
      <c r="K51" s="716"/>
      <c r="L51" s="716"/>
      <c r="M51" s="970" t="str">
        <f>IF(intern!W40&gt;0,"Nicht nutzbare Stellplätze (nicht in Gesamt enthalten):  "&amp;intern!W40,"")</f>
        <v/>
      </c>
      <c r="N51" s="716"/>
      <c r="O51" s="716"/>
      <c r="P51" s="716"/>
      <c r="Q51" s="716"/>
      <c r="R51" s="716"/>
      <c r="S51" s="716"/>
      <c r="T51" s="716"/>
      <c r="U51" s="717"/>
      <c r="W51" s="204"/>
      <c r="X51" s="504"/>
    </row>
    <row r="52" spans="2:24" ht="18" customHeight="1">
      <c r="B52" s="715"/>
      <c r="C52" s="760" t="s">
        <v>730</v>
      </c>
      <c r="D52" s="716"/>
      <c r="E52" s="716"/>
      <c r="F52" s="716"/>
      <c r="G52" s="716"/>
      <c r="H52" s="716"/>
      <c r="I52" s="716"/>
      <c r="J52" s="716"/>
      <c r="K52" s="716"/>
      <c r="L52" s="716"/>
      <c r="M52" s="716"/>
      <c r="N52" s="716"/>
      <c r="O52" s="716"/>
      <c r="P52" s="716"/>
      <c r="Q52" s="716"/>
      <c r="R52" s="716"/>
      <c r="S52" s="716"/>
      <c r="T52" s="716"/>
      <c r="U52" s="717"/>
      <c r="W52" s="204"/>
      <c r="X52" s="504"/>
    </row>
    <row r="53" spans="2:24" ht="12" customHeight="1">
      <c r="B53" s="715"/>
      <c r="C53" s="734"/>
      <c r="D53" s="716"/>
      <c r="E53" s="716"/>
      <c r="F53" s="716"/>
      <c r="G53" s="716"/>
      <c r="H53" s="716"/>
      <c r="I53" s="716"/>
      <c r="J53" s="716"/>
      <c r="K53" s="716"/>
      <c r="L53" s="716"/>
      <c r="M53" s="716"/>
      <c r="N53" s="716"/>
      <c r="O53" s="716"/>
      <c r="P53" s="716"/>
      <c r="Q53" s="716"/>
      <c r="R53" s="716"/>
      <c r="S53" s="716"/>
      <c r="T53" s="716"/>
      <c r="U53" s="717"/>
      <c r="W53" s="204"/>
      <c r="X53" s="504"/>
    </row>
    <row r="54" spans="2:24" ht="18" customHeight="1">
      <c r="B54" s="715"/>
      <c r="C54" s="735" t="s">
        <v>116</v>
      </c>
      <c r="D54" s="714"/>
      <c r="E54" s="714"/>
      <c r="F54" s="714"/>
      <c r="G54" s="714"/>
      <c r="H54" s="714"/>
      <c r="I54" s="1842">
        <f>VE_BB_1</f>
        <v>0</v>
      </c>
      <c r="J54" s="1843"/>
      <c r="K54" s="721"/>
      <c r="L54" s="716"/>
      <c r="M54" s="735" t="s">
        <v>116</v>
      </c>
      <c r="N54" s="714"/>
      <c r="O54" s="714"/>
      <c r="P54" s="714"/>
      <c r="Q54" s="714"/>
      <c r="R54" s="714"/>
      <c r="S54" s="1842">
        <f>VE_BB_2</f>
        <v>0</v>
      </c>
      <c r="T54" s="1843"/>
      <c r="U54" s="717"/>
      <c r="W54" s="204"/>
      <c r="X54" s="504"/>
    </row>
    <row r="55" spans="2:24" ht="6" customHeight="1">
      <c r="B55" s="715"/>
      <c r="C55" s="714"/>
      <c r="D55" s="714"/>
      <c r="E55" s="714"/>
      <c r="F55" s="714"/>
      <c r="G55" s="714"/>
      <c r="H55" s="714"/>
      <c r="I55" s="716"/>
      <c r="J55" s="716"/>
      <c r="K55" s="721"/>
      <c r="L55" s="716"/>
      <c r="M55" s="714"/>
      <c r="N55" s="714"/>
      <c r="O55" s="714"/>
      <c r="P55" s="714"/>
      <c r="Q55" s="714"/>
      <c r="R55" s="714"/>
      <c r="S55" s="716"/>
      <c r="T55" s="716"/>
      <c r="U55" s="717"/>
      <c r="W55" s="204"/>
      <c r="X55" s="504"/>
    </row>
    <row r="56" spans="2:24" ht="18" customHeight="1">
      <c r="B56" s="715"/>
      <c r="C56" s="714" t="s">
        <v>768</v>
      </c>
      <c r="D56" s="714"/>
      <c r="E56" s="714"/>
      <c r="F56" s="714"/>
      <c r="G56" s="714"/>
      <c r="H56" s="714"/>
      <c r="I56" s="1822">
        <f>'C ▪ Ergebnisjustierung'!N98</f>
        <v>0</v>
      </c>
      <c r="J56" s="1733"/>
      <c r="K56" s="721"/>
      <c r="L56" s="716"/>
      <c r="M56" s="714" t="s">
        <v>768</v>
      </c>
      <c r="N56" s="714"/>
      <c r="O56" s="714"/>
      <c r="P56" s="714"/>
      <c r="Q56" s="714"/>
      <c r="R56" s="714"/>
      <c r="S56" s="1822">
        <f>'C ▪ Ergebnisjustierung'!R98</f>
        <v>0</v>
      </c>
      <c r="T56" s="1733"/>
      <c r="U56" s="717"/>
      <c r="W56" s="204"/>
      <c r="X56" s="504"/>
    </row>
    <row r="57" spans="2:24" ht="6" customHeight="1">
      <c r="B57" s="715"/>
      <c r="C57" s="714"/>
      <c r="D57" s="714"/>
      <c r="E57" s="714"/>
      <c r="F57" s="714"/>
      <c r="G57" s="714"/>
      <c r="H57" s="714"/>
      <c r="I57" s="716"/>
      <c r="J57" s="716"/>
      <c r="K57" s="721"/>
      <c r="L57" s="716"/>
      <c r="M57" s="714"/>
      <c r="N57" s="714"/>
      <c r="O57" s="714"/>
      <c r="P57" s="714"/>
      <c r="Q57" s="714"/>
      <c r="R57" s="714"/>
      <c r="S57" s="716"/>
      <c r="T57" s="716"/>
      <c r="U57" s="717"/>
      <c r="W57" s="204"/>
      <c r="X57" s="504"/>
    </row>
    <row r="58" spans="2:24" ht="18" customHeight="1">
      <c r="B58" s="715"/>
      <c r="C58" s="714" t="s">
        <v>667</v>
      </c>
      <c r="D58" s="714"/>
      <c r="E58" s="714"/>
      <c r="F58" s="714"/>
      <c r="G58" s="714"/>
      <c r="H58" s="714"/>
      <c r="I58" s="1822">
        <f>'C ▪ Ergebnisjustierung'!N94</f>
        <v>0</v>
      </c>
      <c r="J58" s="1733"/>
      <c r="K58" s="721"/>
      <c r="L58" s="716"/>
      <c r="M58" s="714" t="s">
        <v>667</v>
      </c>
      <c r="N58" s="714"/>
      <c r="O58" s="714"/>
      <c r="P58" s="714"/>
      <c r="Q58" s="714"/>
      <c r="R58" s="714"/>
      <c r="S58" s="1822">
        <f>'C ▪ Ergebnisjustierung'!R94</f>
        <v>0</v>
      </c>
      <c r="T58" s="1733"/>
      <c r="U58" s="717"/>
      <c r="W58" s="204"/>
      <c r="X58" s="504"/>
    </row>
    <row r="59" spans="2:24" ht="18" customHeight="1">
      <c r="B59" s="715"/>
      <c r="C59" s="734"/>
      <c r="D59" s="716"/>
      <c r="E59" s="716"/>
      <c r="F59" s="716"/>
      <c r="G59" s="716"/>
      <c r="H59" s="716"/>
      <c r="I59" s="716"/>
      <c r="J59" s="716"/>
      <c r="K59" s="721"/>
      <c r="L59" s="716"/>
      <c r="M59" s="716"/>
      <c r="N59" s="716"/>
      <c r="O59" s="716"/>
      <c r="P59" s="716"/>
      <c r="Q59" s="716"/>
      <c r="R59" s="716"/>
      <c r="S59" s="716"/>
      <c r="T59" s="716"/>
      <c r="U59" s="717"/>
      <c r="W59" s="204"/>
      <c r="X59" s="504"/>
    </row>
    <row r="60" spans="2:24" ht="21" customHeight="1">
      <c r="B60" s="715"/>
      <c r="C60" s="1826" t="s">
        <v>657</v>
      </c>
      <c r="D60" s="1826"/>
      <c r="E60" s="765" t="s">
        <v>656</v>
      </c>
      <c r="F60" s="766"/>
      <c r="G60" s="767"/>
      <c r="H60" s="768" t="s">
        <v>15</v>
      </c>
      <c r="I60" s="769"/>
      <c r="J60" s="770"/>
      <c r="K60" s="720"/>
      <c r="L60" s="714"/>
      <c r="M60" s="1826" t="s">
        <v>657</v>
      </c>
      <c r="N60" s="1826"/>
      <c r="O60" s="765" t="s">
        <v>656</v>
      </c>
      <c r="P60" s="766"/>
      <c r="Q60" s="767"/>
      <c r="R60" s="768" t="s">
        <v>15</v>
      </c>
      <c r="S60" s="769"/>
      <c r="T60" s="770"/>
      <c r="U60" s="717"/>
      <c r="W60" s="204"/>
      <c r="X60" s="504"/>
    </row>
    <row r="61" spans="2:24" ht="21" customHeight="1">
      <c r="B61" s="715"/>
      <c r="C61" s="1826"/>
      <c r="D61" s="1826"/>
      <c r="E61" s="763" t="s">
        <v>655</v>
      </c>
      <c r="F61" s="771"/>
      <c r="G61" s="772" t="s">
        <v>118</v>
      </c>
      <c r="H61" s="773"/>
      <c r="I61" s="774"/>
      <c r="J61" s="775"/>
      <c r="K61" s="720"/>
      <c r="L61" s="714"/>
      <c r="M61" s="1826"/>
      <c r="N61" s="1826"/>
      <c r="O61" s="763" t="s">
        <v>655</v>
      </c>
      <c r="P61" s="771"/>
      <c r="Q61" s="772" t="s">
        <v>118</v>
      </c>
      <c r="R61" s="773"/>
      <c r="S61" s="774"/>
      <c r="T61" s="775"/>
      <c r="U61" s="717"/>
      <c r="W61" s="204"/>
      <c r="X61" s="504"/>
    </row>
    <row r="62" spans="2:24" ht="21" customHeight="1">
      <c r="B62" s="715"/>
      <c r="C62" s="764" t="s">
        <v>239</v>
      </c>
      <c r="D62" s="762"/>
      <c r="E62" s="763"/>
      <c r="F62" s="776" t="s">
        <v>150</v>
      </c>
      <c r="G62" s="777"/>
      <c r="H62" s="778"/>
      <c r="I62" s="779"/>
      <c r="J62" s="775"/>
      <c r="K62" s="720"/>
      <c r="L62" s="714"/>
      <c r="M62" s="764" t="s">
        <v>239</v>
      </c>
      <c r="N62" s="762"/>
      <c r="O62" s="763"/>
      <c r="P62" s="776" t="s">
        <v>150</v>
      </c>
      <c r="Q62" s="777"/>
      <c r="R62" s="778"/>
      <c r="S62" s="779"/>
      <c r="T62" s="775"/>
      <c r="U62" s="717"/>
      <c r="W62" s="204"/>
      <c r="X62" s="504"/>
    </row>
    <row r="63" spans="2:24" ht="18" customHeight="1">
      <c r="B63" s="715"/>
      <c r="C63" s="785" t="s">
        <v>27</v>
      </c>
      <c r="D63" s="780"/>
      <c r="E63" s="780"/>
      <c r="F63" s="748"/>
      <c r="G63" s="781"/>
      <c r="H63" s="782"/>
      <c r="I63" s="783"/>
      <c r="J63" s="784"/>
      <c r="K63" s="720"/>
      <c r="L63" s="714"/>
      <c r="M63" s="785" t="s">
        <v>27</v>
      </c>
      <c r="N63" s="780"/>
      <c r="O63" s="780"/>
      <c r="P63" s="748"/>
      <c r="Q63" s="781"/>
      <c r="R63" s="782"/>
      <c r="S63" s="783"/>
      <c r="T63" s="784"/>
      <c r="U63" s="717"/>
      <c r="W63" s="204"/>
      <c r="X63" s="504"/>
    </row>
    <row r="64" spans="2:24" ht="18" customHeight="1">
      <c r="B64" s="715"/>
      <c r="C64" s="1823" t="s">
        <v>5</v>
      </c>
      <c r="D64" s="1824"/>
      <c r="E64" s="1825"/>
      <c r="F64" s="1803" t="s">
        <v>152</v>
      </c>
      <c r="G64" s="1804"/>
      <c r="H64" s="792">
        <f>'C ▪ Ergebnisjustierung'!H159</f>
        <v>0</v>
      </c>
      <c r="I64" s="793">
        <f>'C ▪ Ergebnisjustierung'!I159</f>
        <v>0</v>
      </c>
      <c r="J64" s="794">
        <f>'C ▪ Ergebnisjustierung'!J159</f>
        <v>0</v>
      </c>
      <c r="K64" s="720"/>
      <c r="L64" s="714"/>
      <c r="M64" s="1823" t="s">
        <v>5</v>
      </c>
      <c r="N64" s="1824"/>
      <c r="O64" s="1825"/>
      <c r="P64" s="1803" t="s">
        <v>152</v>
      </c>
      <c r="Q64" s="1804"/>
      <c r="R64" s="792">
        <f>'C ▪ Ergebnisjustierung'!R159</f>
        <v>0</v>
      </c>
      <c r="S64" s="793">
        <f>'C ▪ Ergebnisjustierung'!S159</f>
        <v>0</v>
      </c>
      <c r="T64" s="794">
        <f>'C ▪ Ergebnisjustierung'!T159</f>
        <v>0</v>
      </c>
      <c r="U64" s="717"/>
      <c r="W64" s="204"/>
      <c r="X64" s="504"/>
    </row>
    <row r="65" spans="2:24" ht="18" customHeight="1">
      <c r="B65" s="715"/>
      <c r="C65" s="1814" t="s">
        <v>296</v>
      </c>
      <c r="D65" s="1815"/>
      <c r="E65" s="1816"/>
      <c r="F65" s="1805"/>
      <c r="G65" s="1806"/>
      <c r="H65" s="795">
        <f>'C ▪ Ergebnisjustierung'!H160</f>
        <v>0</v>
      </c>
      <c r="I65" s="796">
        <f>'C ▪ Ergebnisjustierung'!I160</f>
        <v>0</v>
      </c>
      <c r="J65" s="797">
        <f>'C ▪ Ergebnisjustierung'!J160</f>
        <v>0</v>
      </c>
      <c r="K65" s="720"/>
      <c r="L65" s="714"/>
      <c r="M65" s="1814" t="s">
        <v>296</v>
      </c>
      <c r="N65" s="1815"/>
      <c r="O65" s="1816"/>
      <c r="P65" s="1805"/>
      <c r="Q65" s="1806"/>
      <c r="R65" s="795">
        <f>'C ▪ Ergebnisjustierung'!R160</f>
        <v>0</v>
      </c>
      <c r="S65" s="796">
        <f>'C ▪ Ergebnisjustierung'!S160</f>
        <v>0</v>
      </c>
      <c r="T65" s="797">
        <f>'C ▪ Ergebnisjustierung'!T160</f>
        <v>0</v>
      </c>
      <c r="U65" s="717"/>
      <c r="W65" s="204"/>
      <c r="X65" s="504"/>
    </row>
    <row r="66" spans="2:24" ht="18" customHeight="1">
      <c r="B66" s="715"/>
      <c r="C66" s="1814" t="s">
        <v>120</v>
      </c>
      <c r="D66" s="1815"/>
      <c r="E66" s="1816"/>
      <c r="F66" s="1805"/>
      <c r="G66" s="1806"/>
      <c r="H66" s="795">
        <f>'C ▪ Ergebnisjustierung'!H161</f>
        <v>0</v>
      </c>
      <c r="I66" s="796">
        <f>'C ▪ Ergebnisjustierung'!I161</f>
        <v>0</v>
      </c>
      <c r="J66" s="797">
        <f>'C ▪ Ergebnisjustierung'!J161</f>
        <v>0</v>
      </c>
      <c r="K66" s="720"/>
      <c r="L66" s="714"/>
      <c r="M66" s="1819" t="s">
        <v>120</v>
      </c>
      <c r="N66" s="1820"/>
      <c r="O66" s="1821"/>
      <c r="P66" s="1805"/>
      <c r="Q66" s="1806"/>
      <c r="R66" s="795">
        <f>'C ▪ Ergebnisjustierung'!R161</f>
        <v>0</v>
      </c>
      <c r="S66" s="796">
        <f>'C ▪ Ergebnisjustierung'!S161</f>
        <v>0</v>
      </c>
      <c r="T66" s="797">
        <f>'C ▪ Ergebnisjustierung'!T161</f>
        <v>0</v>
      </c>
      <c r="U66" s="717"/>
      <c r="W66" s="204"/>
      <c r="X66" s="504"/>
    </row>
    <row r="67" spans="2:24" ht="18" customHeight="1">
      <c r="B67" s="715"/>
      <c r="C67" s="1811" t="s">
        <v>705</v>
      </c>
      <c r="D67" s="1812"/>
      <c r="E67" s="1813"/>
      <c r="F67" s="1807"/>
      <c r="G67" s="1808"/>
      <c r="H67" s="842">
        <f>'C ▪ Ergebnisjustierung'!H162</f>
        <v>0</v>
      </c>
      <c r="I67" s="843">
        <f>'C ▪ Ergebnisjustierung'!I162</f>
        <v>0</v>
      </c>
      <c r="J67" s="844">
        <f>'C ▪ Ergebnisjustierung'!J162</f>
        <v>0</v>
      </c>
      <c r="K67" s="720"/>
      <c r="L67" s="714"/>
      <c r="M67" s="1827" t="s">
        <v>705</v>
      </c>
      <c r="N67" s="1828"/>
      <c r="O67" s="1829"/>
      <c r="P67" s="1807"/>
      <c r="Q67" s="1808"/>
      <c r="R67" s="842">
        <f>'C ▪ Ergebnisjustierung'!R162</f>
        <v>0</v>
      </c>
      <c r="S67" s="843">
        <f>'C ▪ Ergebnisjustierung'!S162</f>
        <v>0</v>
      </c>
      <c r="T67" s="844">
        <f>'C ▪ Ergebnisjustierung'!T162</f>
        <v>0</v>
      </c>
      <c r="U67" s="717"/>
      <c r="W67" s="204"/>
      <c r="X67" s="504"/>
    </row>
    <row r="68" spans="2:24" ht="18" customHeight="1" thickBot="1">
      <c r="B68" s="715"/>
      <c r="C68" s="1848" t="s">
        <v>228</v>
      </c>
      <c r="D68" s="1848"/>
      <c r="E68" s="1848"/>
      <c r="F68" s="1848"/>
      <c r="G68" s="1849"/>
      <c r="H68" s="736" t="s">
        <v>105</v>
      </c>
      <c r="I68" s="887">
        <f>'C ▪ Ergebnisjustierung'!I163</f>
        <v>0</v>
      </c>
      <c r="J68" s="888" t="s">
        <v>105</v>
      </c>
      <c r="K68" s="720"/>
      <c r="L68" s="714"/>
      <c r="M68" s="1848" t="s">
        <v>228</v>
      </c>
      <c r="N68" s="1848"/>
      <c r="O68" s="1848"/>
      <c r="P68" s="1848"/>
      <c r="Q68" s="1849"/>
      <c r="R68" s="736" t="s">
        <v>105</v>
      </c>
      <c r="S68" s="887">
        <f>'C ▪ Ergebnisjustierung'!S163</f>
        <v>0</v>
      </c>
      <c r="T68" s="888" t="s">
        <v>105</v>
      </c>
      <c r="U68" s="717"/>
      <c r="W68" s="204"/>
      <c r="X68" s="504"/>
    </row>
    <row r="69" spans="2:24" ht="18" customHeight="1">
      <c r="B69" s="715"/>
      <c r="C69" s="1850" t="s">
        <v>5</v>
      </c>
      <c r="D69" s="1851"/>
      <c r="E69" s="1852"/>
      <c r="F69" s="1809" t="s">
        <v>151</v>
      </c>
      <c r="G69" s="1810"/>
      <c r="H69" s="889">
        <f>'C ▪ Ergebnisjustierung'!H164</f>
        <v>0</v>
      </c>
      <c r="I69" s="1817" t="str">
        <f>"Summe / Anteil gesicherter Stellplätze:" &amp; CHAR(10) &amp; IF(intern!O80=0,0,TEXT(intern!O80,"#.###")) &amp; " / " &amp; IFERROR(ROUND(100*(intern!O80/I54),0),0) &amp; " %"</f>
        <v>Summe / Anteil gesicherter Stellplätze:
0 / 0 %</v>
      </c>
      <c r="J69" s="1817"/>
      <c r="K69" s="720"/>
      <c r="L69" s="714"/>
      <c r="M69" s="1850" t="s">
        <v>5</v>
      </c>
      <c r="N69" s="1851"/>
      <c r="O69" s="1852"/>
      <c r="P69" s="1809" t="s">
        <v>151</v>
      </c>
      <c r="Q69" s="1810"/>
      <c r="R69" s="889">
        <f>'C ▪ Ergebnisjustierung'!R164</f>
        <v>0</v>
      </c>
      <c r="S69" s="1817" t="str">
        <f>"Summe / Anteil gesicherter Stellplätze:" &amp; CHAR(10) &amp; IF(intern!Q80=0,0,TEXT(intern!Q80,"#.###")) &amp; " / " &amp; IFERROR(ROUND(100*(intern!Q80/S54),0),0) &amp; " %"</f>
        <v>Summe / Anteil gesicherter Stellplätze:
0 / 0 %</v>
      </c>
      <c r="T69" s="1817"/>
      <c r="U69" s="717"/>
      <c r="W69" s="204"/>
      <c r="X69" s="504"/>
    </row>
    <row r="70" spans="2:24" ht="18" customHeight="1">
      <c r="B70" s="715"/>
      <c r="C70" s="1819" t="s">
        <v>296</v>
      </c>
      <c r="D70" s="1820"/>
      <c r="E70" s="1821"/>
      <c r="F70" s="1805"/>
      <c r="G70" s="1806"/>
      <c r="H70" s="890">
        <f>'C ▪ Ergebnisjustierung'!H165</f>
        <v>0</v>
      </c>
      <c r="I70" s="1817"/>
      <c r="J70" s="1817"/>
      <c r="K70" s="720"/>
      <c r="L70" s="714"/>
      <c r="M70" s="1819" t="s">
        <v>296</v>
      </c>
      <c r="N70" s="1820"/>
      <c r="O70" s="1821"/>
      <c r="P70" s="1805"/>
      <c r="Q70" s="1806"/>
      <c r="R70" s="890">
        <f>'C ▪ Ergebnisjustierung'!R165</f>
        <v>0</v>
      </c>
      <c r="S70" s="1817"/>
      <c r="T70" s="1817"/>
      <c r="U70" s="717"/>
      <c r="W70" s="204"/>
      <c r="X70" s="504"/>
    </row>
    <row r="71" spans="2:24" ht="18" customHeight="1">
      <c r="B71" s="715"/>
      <c r="C71" s="1823" t="s">
        <v>120</v>
      </c>
      <c r="D71" s="1824"/>
      <c r="E71" s="1825"/>
      <c r="F71" s="1805"/>
      <c r="G71" s="1806"/>
      <c r="H71" s="891">
        <f>'C ▪ Ergebnisjustierung'!H166</f>
        <v>0</v>
      </c>
      <c r="I71" s="1817"/>
      <c r="J71" s="1817"/>
      <c r="K71" s="720"/>
      <c r="L71" s="714"/>
      <c r="M71" s="1823" t="s">
        <v>120</v>
      </c>
      <c r="N71" s="1824"/>
      <c r="O71" s="1825"/>
      <c r="P71" s="1805"/>
      <c r="Q71" s="1806"/>
      <c r="R71" s="891">
        <f>'C ▪ Ergebnisjustierung'!R166</f>
        <v>0</v>
      </c>
      <c r="S71" s="1817"/>
      <c r="T71" s="1817"/>
      <c r="U71" s="717"/>
      <c r="W71" s="204"/>
      <c r="X71" s="504"/>
    </row>
    <row r="72" spans="2:24" ht="18" customHeight="1">
      <c r="B72" s="715"/>
      <c r="C72" s="1811" t="s">
        <v>705</v>
      </c>
      <c r="D72" s="1812"/>
      <c r="E72" s="1813"/>
      <c r="F72" s="1807"/>
      <c r="G72" s="1808"/>
      <c r="H72" s="892">
        <f>'C ▪ Ergebnisjustierung'!H167</f>
        <v>0</v>
      </c>
      <c r="I72" s="1817"/>
      <c r="J72" s="1817"/>
      <c r="K72" s="720"/>
      <c r="L72" s="714"/>
      <c r="M72" s="1811" t="s">
        <v>705</v>
      </c>
      <c r="N72" s="1812"/>
      <c r="O72" s="1813"/>
      <c r="P72" s="1807"/>
      <c r="Q72" s="1808"/>
      <c r="R72" s="892">
        <f>'C ▪ Ergebnisjustierung'!R167</f>
        <v>0</v>
      </c>
      <c r="S72" s="1817"/>
      <c r="T72" s="1817"/>
      <c r="U72" s="717"/>
      <c r="W72" s="204"/>
      <c r="X72" s="504"/>
    </row>
    <row r="73" spans="2:24" ht="18" customHeight="1">
      <c r="B73" s="715"/>
      <c r="C73" s="1745" t="s">
        <v>626</v>
      </c>
      <c r="D73" s="1746"/>
      <c r="E73" s="1746"/>
      <c r="F73" s="1746"/>
      <c r="G73" s="1746"/>
      <c r="H73" s="893">
        <f>'C ▪ Ergebnisjustierung'!H168</f>
        <v>0</v>
      </c>
      <c r="I73" s="1817"/>
      <c r="J73" s="1817"/>
      <c r="K73" s="720"/>
      <c r="L73" s="714"/>
      <c r="M73" s="1745" t="s">
        <v>626</v>
      </c>
      <c r="N73" s="1746"/>
      <c r="O73" s="1746"/>
      <c r="P73" s="1746"/>
      <c r="Q73" s="1746"/>
      <c r="R73" s="893">
        <f>'C ▪ Ergebnisjustierung'!R168</f>
        <v>0</v>
      </c>
      <c r="S73" s="1817"/>
      <c r="T73" s="1817"/>
      <c r="U73" s="717"/>
      <c r="W73" s="204"/>
      <c r="X73" s="504"/>
    </row>
    <row r="74" spans="2:24" ht="24" customHeight="1">
      <c r="B74" s="715"/>
      <c r="C74" s="734"/>
      <c r="D74" s="716"/>
      <c r="E74" s="716"/>
      <c r="F74" s="716"/>
      <c r="G74" s="716"/>
      <c r="H74" s="716"/>
      <c r="I74" s="716"/>
      <c r="J74" s="716"/>
      <c r="K74" s="716"/>
      <c r="L74" s="716"/>
      <c r="M74" s="716"/>
      <c r="N74" s="716"/>
      <c r="O74" s="716"/>
      <c r="P74" s="716"/>
      <c r="Q74" s="716"/>
      <c r="R74" s="716"/>
      <c r="S74" s="716"/>
      <c r="T74" s="716"/>
      <c r="U74" s="717"/>
      <c r="W74" s="204"/>
      <c r="X74" s="504"/>
    </row>
    <row r="75" spans="2:24" ht="18" customHeight="1">
      <c r="B75" s="715"/>
      <c r="C75" s="760" t="s">
        <v>268</v>
      </c>
      <c r="D75" s="716"/>
      <c r="E75" s="716"/>
      <c r="F75" s="716"/>
      <c r="G75" s="716"/>
      <c r="H75" s="716"/>
      <c r="I75" s="716"/>
      <c r="J75" s="716"/>
      <c r="K75" s="716"/>
      <c r="L75" s="716"/>
      <c r="M75" s="716"/>
      <c r="N75" s="716"/>
      <c r="O75" s="716"/>
      <c r="P75" s="716"/>
      <c r="Q75" s="716"/>
      <c r="R75" s="716"/>
      <c r="S75" s="716"/>
      <c r="T75" s="786" t="str">
        <f>IF(VP_0_EAHEUTE=0,"Zur Berechnung fehlt in Teil B eine Eingabe unter ""Ein- und Aussteiger heute"".","Ein- und Aussteiger heute: "&amp;TEXT(VP_0_EAHEUTE,"#.##0"))</f>
        <v>Zur Berechnung fehlt in Teil B eine Eingabe unter "Ein- und Aussteiger heute".</v>
      </c>
      <c r="U75" s="717"/>
      <c r="W75" s="204"/>
      <c r="X75" s="504"/>
    </row>
    <row r="76" spans="2:24" ht="12" customHeight="1">
      <c r="B76" s="715"/>
      <c r="C76" s="734"/>
      <c r="D76" s="716"/>
      <c r="E76" s="716"/>
      <c r="F76" s="716"/>
      <c r="G76" s="716"/>
      <c r="H76" s="716"/>
      <c r="I76" s="716"/>
      <c r="J76" s="716"/>
      <c r="K76" s="716"/>
      <c r="L76" s="716"/>
      <c r="M76" s="716"/>
      <c r="N76" s="716"/>
      <c r="O76" s="716"/>
      <c r="P76" s="716"/>
      <c r="Q76" s="716"/>
      <c r="R76" s="716"/>
      <c r="S76" s="716"/>
      <c r="T76" s="716"/>
      <c r="U76" s="717"/>
      <c r="W76" s="204"/>
      <c r="X76" s="504"/>
    </row>
    <row r="77" spans="2:24" ht="18" customHeight="1">
      <c r="B77" s="715"/>
      <c r="C77" s="714" t="s">
        <v>686</v>
      </c>
      <c r="D77" s="714"/>
      <c r="E77" s="714"/>
      <c r="F77" s="714"/>
      <c r="G77" s="714"/>
      <c r="H77" s="714"/>
      <c r="I77" s="714"/>
      <c r="J77" s="714"/>
      <c r="K77" s="714"/>
      <c r="L77" s="714"/>
      <c r="M77" s="714"/>
      <c r="N77" s="714"/>
      <c r="O77" s="714"/>
      <c r="P77" s="714"/>
      <c r="Q77" s="714"/>
      <c r="R77" s="714"/>
      <c r="S77" s="1844" t="str">
        <f>IF(
VP_0_EAHEUTE=0,"Eingabe fehlt",IF(
OR(VA_BESTANDSEINGABE=1,VA_ZUSAMMEN=1),(intern!M48/(VP_0_EAHEUTE/2)),
((intern!M48+intern!W48)/(VP_0_EAHEUTE/2))))</f>
        <v>Eingabe fehlt</v>
      </c>
      <c r="T77" s="1845"/>
      <c r="U77" s="717"/>
      <c r="W77" s="204"/>
      <c r="X77" s="504"/>
    </row>
    <row r="78" spans="2:24" ht="6" customHeight="1">
      <c r="B78" s="715"/>
      <c r="C78" s="714"/>
      <c r="D78" s="714"/>
      <c r="E78" s="714"/>
      <c r="F78" s="714"/>
      <c r="G78" s="714"/>
      <c r="H78" s="714"/>
      <c r="I78" s="714"/>
      <c r="J78" s="714"/>
      <c r="K78" s="714"/>
      <c r="L78" s="714"/>
      <c r="M78" s="714"/>
      <c r="N78" s="714"/>
      <c r="O78" s="714"/>
      <c r="P78" s="714"/>
      <c r="Q78" s="714"/>
      <c r="R78" s="714"/>
      <c r="S78" s="714"/>
      <c r="T78" s="716"/>
      <c r="U78" s="717"/>
      <c r="W78" s="204"/>
      <c r="X78" s="504"/>
    </row>
    <row r="79" spans="2:24" ht="18" customHeight="1">
      <c r="B79" s="715"/>
      <c r="C79" s="714" t="s">
        <v>687</v>
      </c>
      <c r="D79" s="714"/>
      <c r="E79" s="714"/>
      <c r="F79" s="714"/>
      <c r="G79" s="714"/>
      <c r="H79" s="714"/>
      <c r="I79" s="714"/>
      <c r="J79" s="714"/>
      <c r="K79" s="714"/>
      <c r="L79" s="714"/>
      <c r="M79" s="714"/>
      <c r="N79" s="714"/>
      <c r="O79" s="714"/>
      <c r="P79" s="714"/>
      <c r="Q79" s="714"/>
      <c r="R79" s="714"/>
      <c r="S79" s="1844" t="str">
        <f>IF(
VP_0_EAHEUTE=0,"Eingabe fehlt",IF(
OR(VA_BESTANDSEINGABE=1,VA_ZUSAMMEN=1),(intern!J48/(VP_0_EAHEUTE/2)),
((intern!J48+intern!T48)/(VP_0_EAHEUTE/2))))</f>
        <v>Eingabe fehlt</v>
      </c>
      <c r="T79" s="1845"/>
      <c r="U79" s="717"/>
      <c r="W79" s="204"/>
      <c r="X79" s="504"/>
    </row>
    <row r="80" spans="2:24" ht="6" customHeight="1">
      <c r="B80" s="715"/>
      <c r="C80" s="714"/>
      <c r="D80" s="714"/>
      <c r="E80" s="714"/>
      <c r="F80" s="714"/>
      <c r="G80" s="714"/>
      <c r="H80" s="714"/>
      <c r="I80" s="714"/>
      <c r="J80" s="714"/>
      <c r="K80" s="714"/>
      <c r="L80" s="714"/>
      <c r="M80" s="714"/>
      <c r="N80" s="714"/>
      <c r="O80" s="714"/>
      <c r="P80" s="714"/>
      <c r="Q80" s="714"/>
      <c r="R80" s="714"/>
      <c r="S80" s="714"/>
      <c r="T80" s="716"/>
      <c r="U80" s="717"/>
      <c r="W80" s="204"/>
      <c r="X80" s="504"/>
    </row>
    <row r="81" spans="2:24" ht="18" customHeight="1">
      <c r="B81" s="715"/>
      <c r="C81" s="714" t="s">
        <v>251</v>
      </c>
      <c r="D81" s="714"/>
      <c r="E81" s="714"/>
      <c r="F81" s="714"/>
      <c r="G81" s="714"/>
      <c r="H81" s="714"/>
      <c r="I81" s="714"/>
      <c r="J81" s="714"/>
      <c r="K81" s="714"/>
      <c r="L81" s="714"/>
      <c r="M81" s="714"/>
      <c r="N81" s="714"/>
      <c r="O81" s="714"/>
      <c r="P81" s="714"/>
      <c r="Q81" s="714"/>
      <c r="R81" s="714"/>
      <c r="S81" s="1844" t="str">
        <f>IFERROR(IF(
VP_0_EAHEUTE=0,"Eingabe fehlt",IF(
OR(VA_BESTANDSEINGABE=1,VA_ZUSAMMEN=1),((intern!K48+intern!B174-IF(VA_BESTANDSEINGABE=1,intern!D52,intern!J52))/((VP_0_EAHEUTE*VA_TF)/2)),
((intern!K48+intern!U48+intern!B174-intern!D52-intern!N52)/((VP_0_EAHEUTE*VA_TF)/2)))),
"")</f>
        <v>Eingabe fehlt</v>
      </c>
      <c r="T81" s="1845"/>
      <c r="U81" s="717"/>
      <c r="W81" s="204"/>
      <c r="X81" s="504"/>
    </row>
    <row r="82" spans="2:24" ht="18" customHeight="1">
      <c r="B82" s="715"/>
      <c r="C82" s="761" t="s">
        <v>248</v>
      </c>
      <c r="D82" s="714"/>
      <c r="E82" s="714"/>
      <c r="F82" s="714"/>
      <c r="G82" s="714"/>
      <c r="H82" s="714"/>
      <c r="I82" s="714"/>
      <c r="J82" s="714"/>
      <c r="K82" s="714"/>
      <c r="L82" s="714"/>
      <c r="M82" s="714"/>
      <c r="N82" s="714"/>
      <c r="O82" s="714"/>
      <c r="P82" s="714"/>
      <c r="Q82" s="714"/>
      <c r="R82" s="737"/>
      <c r="S82" s="737"/>
      <c r="T82" s="716"/>
      <c r="U82" s="717"/>
      <c r="W82" s="204"/>
      <c r="X82" s="504"/>
    </row>
    <row r="83" spans="2:24" ht="24" customHeight="1">
      <c r="B83" s="715"/>
      <c r="C83" s="734"/>
      <c r="D83" s="716"/>
      <c r="E83" s="716"/>
      <c r="F83" s="716"/>
      <c r="G83" s="716"/>
      <c r="H83" s="716"/>
      <c r="I83" s="716"/>
      <c r="J83" s="716"/>
      <c r="K83" s="716"/>
      <c r="L83" s="716"/>
      <c r="M83" s="716"/>
      <c r="N83" s="716"/>
      <c r="O83" s="716"/>
      <c r="P83" s="716"/>
      <c r="Q83" s="716"/>
      <c r="R83" s="716"/>
      <c r="S83" s="716"/>
      <c r="T83" s="716"/>
      <c r="U83" s="717"/>
      <c r="W83" s="204"/>
      <c r="X83" s="504"/>
    </row>
    <row r="84" spans="2:24" ht="18" customHeight="1">
      <c r="B84" s="715"/>
      <c r="C84" s="760" t="s">
        <v>688</v>
      </c>
      <c r="D84" s="716"/>
      <c r="E84" s="716"/>
      <c r="F84" s="716"/>
      <c r="G84" s="716"/>
      <c r="H84" s="716"/>
      <c r="I84" s="716"/>
      <c r="J84" s="716"/>
      <c r="K84" s="716"/>
      <c r="L84" s="716"/>
      <c r="M84" s="716"/>
      <c r="N84" s="716"/>
      <c r="O84" s="716"/>
      <c r="P84" s="716"/>
      <c r="Q84" s="716"/>
      <c r="R84" s="716"/>
      <c r="S84" s="716"/>
      <c r="T84" s="716"/>
      <c r="U84" s="717"/>
      <c r="W84" s="204"/>
      <c r="X84" s="504"/>
    </row>
    <row r="85" spans="2:24" ht="12" customHeight="1">
      <c r="B85" s="715"/>
      <c r="C85" s="734"/>
      <c r="D85" s="716"/>
      <c r="E85" s="716"/>
      <c r="F85" s="716"/>
      <c r="G85" s="716"/>
      <c r="H85" s="716"/>
      <c r="I85" s="716"/>
      <c r="J85" s="716"/>
      <c r="K85" s="716"/>
      <c r="L85" s="716"/>
      <c r="M85" s="716"/>
      <c r="N85" s="716"/>
      <c r="O85" s="716"/>
      <c r="P85" s="716"/>
      <c r="Q85" s="716"/>
      <c r="R85" s="716"/>
      <c r="S85" s="716"/>
      <c r="T85" s="716"/>
      <c r="U85" s="717"/>
      <c r="W85" s="204"/>
      <c r="X85" s="504"/>
    </row>
    <row r="86" spans="2:24" ht="18" customHeight="1">
      <c r="B86" s="715"/>
      <c r="C86" s="734"/>
      <c r="D86" s="716"/>
      <c r="E86" s="716"/>
      <c r="F86" s="716"/>
      <c r="G86" s="716"/>
      <c r="H86" s="716"/>
      <c r="I86" s="716"/>
      <c r="J86" s="752" t="s">
        <v>651</v>
      </c>
      <c r="K86" s="1731">
        <f>'D ▪ Kostenanalyse'!S88</f>
        <v>0</v>
      </c>
      <c r="L86" s="1732"/>
      <c r="M86" s="1733"/>
      <c r="N86" s="734"/>
      <c r="O86" s="716"/>
      <c r="P86" s="752" t="s">
        <v>355</v>
      </c>
      <c r="Q86" s="1731" t="str">
        <f>'D ▪ Kostenanalyse'!S89</f>
        <v>–––</v>
      </c>
      <c r="R86" s="1732"/>
      <c r="S86" s="1732"/>
      <c r="T86" s="1733"/>
      <c r="U86" s="717"/>
      <c r="W86" s="204"/>
      <c r="X86" s="504"/>
    </row>
    <row r="87" spans="2:24" ht="16" customHeight="1">
      <c r="B87" s="715"/>
      <c r="C87" s="734"/>
      <c r="D87" s="716"/>
      <c r="E87" s="716"/>
      <c r="F87" s="716"/>
      <c r="G87" s="716"/>
      <c r="H87" s="716"/>
      <c r="I87" s="716"/>
      <c r="J87" s="716"/>
      <c r="K87" s="716"/>
      <c r="L87" s="716"/>
      <c r="M87" s="716"/>
      <c r="N87" s="716"/>
      <c r="O87" s="716"/>
      <c r="P87" s="716"/>
      <c r="Q87" s="716"/>
      <c r="R87" s="716"/>
      <c r="S87" s="716"/>
      <c r="T87" s="716"/>
      <c r="U87" s="717"/>
      <c r="W87" s="204"/>
      <c r="X87" s="504"/>
    </row>
    <row r="88" spans="2:24" ht="18" customHeight="1">
      <c r="B88" s="715"/>
      <c r="C88" s="1846" t="str">
        <f>'D ▪ Kostenanalyse'!D96</f>
        <v>Förderung 1   (hier ggf. Name des Programms / der Förderung ergänzen)</v>
      </c>
      <c r="D88" s="1846"/>
      <c r="E88" s="1846"/>
      <c r="F88" s="1846"/>
      <c r="G88" s="1846"/>
      <c r="H88" s="1846"/>
      <c r="I88" s="1846"/>
      <c r="J88" s="1847"/>
      <c r="K88" s="1731">
        <f>'D ▪ Kostenanalyse'!S96</f>
        <v>0</v>
      </c>
      <c r="L88" s="1732"/>
      <c r="M88" s="1733"/>
      <c r="N88" s="1743" t="str">
        <f>IFERROR("Summe Förderungen" &amp; CHAR(10) &amp; "(" &amp; ROUND((K88+K90)/K86*100,1) &amp; " % von Herst.kost.)","")</f>
        <v/>
      </c>
      <c r="O88" s="1743"/>
      <c r="P88" s="1744"/>
      <c r="Q88" s="1734">
        <f>IF(AND(K88="",K90=""),"",K88+K90)</f>
        <v>0</v>
      </c>
      <c r="R88" s="1735"/>
      <c r="S88" s="1735"/>
      <c r="T88" s="1736"/>
      <c r="U88" s="717"/>
      <c r="W88" s="204"/>
      <c r="X88" s="504"/>
    </row>
    <row r="89" spans="2:24" ht="6" customHeight="1">
      <c r="B89" s="715"/>
      <c r="C89" s="734"/>
      <c r="D89" s="716"/>
      <c r="E89" s="716"/>
      <c r="F89" s="716"/>
      <c r="G89" s="716"/>
      <c r="H89" s="716"/>
      <c r="I89" s="716"/>
      <c r="J89" s="734"/>
      <c r="K89" s="716"/>
      <c r="L89" s="716"/>
      <c r="M89" s="716"/>
      <c r="N89" s="1743"/>
      <c r="O89" s="1743"/>
      <c r="P89" s="1744"/>
      <c r="Q89" s="1737"/>
      <c r="R89" s="1738"/>
      <c r="S89" s="1738"/>
      <c r="T89" s="1739"/>
      <c r="U89" s="717"/>
      <c r="W89" s="204"/>
      <c r="X89" s="504"/>
    </row>
    <row r="90" spans="2:24" ht="18" customHeight="1">
      <c r="B90" s="715"/>
      <c r="C90" s="1846" t="str">
        <f>'D ▪ Kostenanalyse'!D98</f>
        <v>Förderung 2   (hier ggf. Name des Programms / der Förderung ergänzen)</v>
      </c>
      <c r="D90" s="1846"/>
      <c r="E90" s="1846"/>
      <c r="F90" s="1846"/>
      <c r="G90" s="1846"/>
      <c r="H90" s="1846"/>
      <c r="I90" s="1846"/>
      <c r="J90" s="1847"/>
      <c r="K90" s="1731">
        <f>'D ▪ Kostenanalyse'!S98</f>
        <v>0</v>
      </c>
      <c r="L90" s="1732"/>
      <c r="M90" s="1733"/>
      <c r="N90" s="1743"/>
      <c r="O90" s="1743"/>
      <c r="P90" s="1744"/>
      <c r="Q90" s="1740"/>
      <c r="R90" s="1741"/>
      <c r="S90" s="1741"/>
      <c r="T90" s="1742"/>
      <c r="U90" s="717"/>
      <c r="W90" s="204"/>
      <c r="X90" s="504"/>
    </row>
    <row r="91" spans="2:24" ht="6" customHeight="1">
      <c r="B91" s="715"/>
      <c r="C91" s="734"/>
      <c r="D91" s="716"/>
      <c r="E91" s="716"/>
      <c r="F91" s="716"/>
      <c r="G91" s="716"/>
      <c r="H91" s="716"/>
      <c r="I91" s="716"/>
      <c r="J91" s="716"/>
      <c r="K91" s="716"/>
      <c r="L91" s="716"/>
      <c r="M91" s="716"/>
      <c r="N91" s="716"/>
      <c r="O91" s="716"/>
      <c r="P91" s="716"/>
      <c r="Q91" s="716"/>
      <c r="R91" s="716"/>
      <c r="S91" s="716"/>
      <c r="T91" s="716"/>
      <c r="U91" s="717"/>
      <c r="W91" s="204"/>
      <c r="X91" s="504"/>
    </row>
    <row r="92" spans="2:24" ht="18" customHeight="1">
      <c r="B92" s="715"/>
      <c r="D92" s="750"/>
      <c r="E92" s="750"/>
      <c r="F92" s="750"/>
      <c r="G92" s="745"/>
      <c r="I92" s="750"/>
      <c r="J92" s="750"/>
      <c r="K92" s="750"/>
      <c r="L92" s="745"/>
      <c r="N92" s="750"/>
      <c r="O92" s="750"/>
      <c r="P92" s="752" t="s">
        <v>646</v>
      </c>
      <c r="Q92" s="1770">
        <f>'D ▪ Kostenanalyse'!S104</f>
        <v>0</v>
      </c>
      <c r="R92" s="1771"/>
      <c r="S92" s="1771"/>
      <c r="T92" s="1772"/>
      <c r="U92" s="717"/>
      <c r="W92" s="204"/>
      <c r="X92" s="504"/>
    </row>
    <row r="93" spans="2:24" ht="16" customHeight="1">
      <c r="B93" s="715"/>
      <c r="D93" s="716"/>
      <c r="E93" s="716"/>
      <c r="F93" s="716"/>
      <c r="G93" s="716"/>
      <c r="H93" s="716"/>
      <c r="I93" s="716"/>
      <c r="J93" s="716"/>
      <c r="K93" s="716"/>
      <c r="L93" s="716"/>
      <c r="M93" s="716"/>
      <c r="N93" s="716"/>
      <c r="O93" s="716"/>
      <c r="Q93" s="716"/>
      <c r="R93" s="716"/>
      <c r="S93" s="716"/>
      <c r="T93" s="716"/>
      <c r="U93" s="717"/>
      <c r="W93" s="204"/>
      <c r="X93" s="504"/>
    </row>
    <row r="94" spans="2:24" ht="18" customHeight="1">
      <c r="B94" s="715"/>
      <c r="D94" s="716"/>
      <c r="E94" s="716"/>
      <c r="F94" s="716"/>
      <c r="G94" s="716"/>
      <c r="H94" s="716"/>
      <c r="I94" s="716"/>
      <c r="J94" s="716"/>
      <c r="K94" s="716"/>
      <c r="L94" s="716"/>
      <c r="M94" s="716"/>
      <c r="N94" s="716"/>
      <c r="O94" s="716"/>
      <c r="P94" s="752" t="str">
        <f>"Investitionsbeiträge Dritter (eigenmittelähnlich / " &amp; IFERROR(ROUND((Q94/K86)*100,1) &amp; " % von Herstellungskosten)","")</f>
        <v xml:space="preserve">Investitionsbeiträge Dritter (eigenmittelähnlich / </v>
      </c>
      <c r="Q94" s="1731">
        <f>'D ▪ Kostenanalyse'!S105</f>
        <v>0</v>
      </c>
      <c r="R94" s="1732"/>
      <c r="S94" s="1732"/>
      <c r="T94" s="1733"/>
      <c r="U94" s="717"/>
      <c r="W94" s="204"/>
      <c r="X94" s="504"/>
    </row>
    <row r="95" spans="2:24" ht="6" customHeight="1">
      <c r="B95" s="715"/>
      <c r="D95" s="716"/>
      <c r="E95" s="716"/>
      <c r="F95" s="716"/>
      <c r="G95" s="716"/>
      <c r="H95" s="716"/>
      <c r="I95" s="716"/>
      <c r="J95" s="716"/>
      <c r="K95" s="716"/>
      <c r="L95" s="716"/>
      <c r="M95" s="716"/>
      <c r="N95" s="716"/>
      <c r="O95" s="716"/>
      <c r="Q95" s="716"/>
      <c r="R95" s="716"/>
      <c r="S95" s="716"/>
      <c r="T95" s="716"/>
      <c r="U95" s="717"/>
      <c r="W95" s="204"/>
      <c r="X95" s="504"/>
    </row>
    <row r="96" spans="2:24" ht="18" customHeight="1">
      <c r="B96" s="715"/>
      <c r="D96" s="716"/>
      <c r="E96" s="716"/>
      <c r="F96" s="716"/>
      <c r="G96" s="716"/>
      <c r="H96" s="716"/>
      <c r="I96" s="716"/>
      <c r="J96" s="716"/>
      <c r="K96" s="716"/>
      <c r="L96" s="716"/>
      <c r="M96" s="716"/>
      <c r="N96" s="716"/>
      <c r="O96" s="716"/>
      <c r="P96" s="752" t="str">
        <f>"Verbleibender kommunaler Eigenanteil" &amp; IFERROR(" (" &amp; ROUND((Q96/K86)*100,1) &amp; " % von Herstellungskosten)","")</f>
        <v>Verbleibender kommunaler Eigenanteil</v>
      </c>
      <c r="Q96" s="1731">
        <f>'D ▪ Kostenanalyse'!S106</f>
        <v>0</v>
      </c>
      <c r="R96" s="1732"/>
      <c r="S96" s="1732"/>
      <c r="T96" s="1733"/>
      <c r="U96" s="717"/>
      <c r="W96" s="204"/>
      <c r="X96" s="504"/>
    </row>
    <row r="97" spans="2:26" ht="6" customHeight="1">
      <c r="B97" s="715"/>
      <c r="D97" s="716"/>
      <c r="E97" s="716"/>
      <c r="F97" s="716"/>
      <c r="G97" s="716"/>
      <c r="H97" s="716"/>
      <c r="I97" s="716"/>
      <c r="J97" s="716"/>
      <c r="K97" s="716"/>
      <c r="L97" s="716"/>
      <c r="M97" s="716"/>
      <c r="N97" s="716"/>
      <c r="O97" s="716"/>
      <c r="Q97" s="716"/>
      <c r="R97" s="716"/>
      <c r="S97" s="716"/>
      <c r="T97" s="716"/>
      <c r="U97" s="717"/>
      <c r="W97" s="204"/>
      <c r="X97" s="504"/>
    </row>
    <row r="98" spans="2:26" ht="18" customHeight="1">
      <c r="B98" s="715"/>
      <c r="D98" s="716"/>
      <c r="E98" s="716"/>
      <c r="F98" s="716"/>
      <c r="G98" s="716"/>
      <c r="H98" s="716"/>
      <c r="I98" s="716"/>
      <c r="J98" s="716"/>
      <c r="K98" s="716"/>
      <c r="L98" s="716"/>
      <c r="M98" s="716"/>
      <c r="N98" s="716"/>
      <c r="O98" s="716"/>
      <c r="P98" s="753" t="s">
        <v>652</v>
      </c>
      <c r="Q98" s="1731">
        <f>'D ▪ Kostenanalyse'!S108</f>
        <v>0</v>
      </c>
      <c r="R98" s="1732"/>
      <c r="S98" s="1732"/>
      <c r="T98" s="1733"/>
      <c r="U98" s="717"/>
      <c r="W98" s="204"/>
      <c r="X98" s="504"/>
    </row>
    <row r="99" spans="2:26" ht="16" customHeight="1">
      <c r="B99" s="715"/>
      <c r="C99" s="747"/>
      <c r="D99" s="748"/>
      <c r="E99" s="748"/>
      <c r="F99" s="748"/>
      <c r="G99" s="748"/>
      <c r="H99" s="748"/>
      <c r="I99" s="748"/>
      <c r="J99" s="748"/>
      <c r="K99" s="748"/>
      <c r="L99" s="748"/>
      <c r="M99" s="748"/>
      <c r="N99" s="748"/>
      <c r="O99" s="748"/>
      <c r="P99" s="748"/>
      <c r="Q99" s="748"/>
      <c r="R99" s="748"/>
      <c r="S99" s="748"/>
      <c r="T99" s="748"/>
      <c r="U99" s="717"/>
      <c r="W99" s="204"/>
      <c r="X99" s="504"/>
    </row>
    <row r="100" spans="2:26" ht="16" customHeight="1">
      <c r="B100" s="715"/>
      <c r="C100" s="734"/>
      <c r="D100" s="716"/>
      <c r="E100" s="716"/>
      <c r="F100" s="716"/>
      <c r="G100" s="716"/>
      <c r="H100" s="716"/>
      <c r="I100" s="716"/>
      <c r="J100" s="716"/>
      <c r="K100" s="822"/>
      <c r="L100" s="822"/>
      <c r="M100" s="716"/>
      <c r="N100" s="716"/>
      <c r="O100" s="716"/>
      <c r="P100" s="716"/>
      <c r="Q100" s="716"/>
      <c r="R100" s="716"/>
      <c r="S100" s="716"/>
      <c r="T100" s="716"/>
      <c r="U100" s="717"/>
      <c r="W100" s="204"/>
      <c r="X100" s="504"/>
    </row>
    <row r="101" spans="2:26" ht="18" customHeight="1">
      <c r="B101" s="715"/>
      <c r="C101" s="1773" t="s">
        <v>1069</v>
      </c>
      <c r="D101" s="1773"/>
      <c r="E101" s="1773"/>
      <c r="F101" s="1774"/>
      <c r="G101" s="1767" t="s">
        <v>647</v>
      </c>
      <c r="H101" s="1768"/>
      <c r="I101" s="1768"/>
      <c r="J101" s="1769"/>
      <c r="K101" s="823"/>
      <c r="L101" s="1767" t="s">
        <v>648</v>
      </c>
      <c r="M101" s="1768"/>
      <c r="N101" s="1768"/>
      <c r="O101" s="1769"/>
      <c r="P101" s="827"/>
      <c r="Q101" s="1759" t="str">
        <f>IFERROR(L103/G103,"")</f>
        <v/>
      </c>
      <c r="R101" s="1760"/>
      <c r="S101" s="1836" t="s">
        <v>693</v>
      </c>
      <c r="T101" s="1837"/>
      <c r="U101" s="717"/>
      <c r="W101" s="204"/>
      <c r="X101" s="504"/>
    </row>
    <row r="102" spans="2:26" ht="6" customHeight="1">
      <c r="B102" s="715"/>
      <c r="C102" s="1773"/>
      <c r="D102" s="1773"/>
      <c r="E102" s="1773"/>
      <c r="F102" s="1774"/>
      <c r="G102" s="825"/>
      <c r="H102" s="716"/>
      <c r="I102" s="716"/>
      <c r="J102" s="749"/>
      <c r="K102" s="714"/>
      <c r="L102" s="826"/>
      <c r="M102" s="716"/>
      <c r="N102" s="716"/>
      <c r="O102" s="749"/>
      <c r="P102" s="827"/>
      <c r="Q102" s="1761"/>
      <c r="R102" s="1762"/>
      <c r="S102" s="1838"/>
      <c r="T102" s="1839"/>
      <c r="U102" s="717"/>
      <c r="W102" s="204"/>
      <c r="X102" s="504"/>
    </row>
    <row r="103" spans="2:26" ht="18" customHeight="1">
      <c r="B103" s="715"/>
      <c r="C103" s="1773"/>
      <c r="D103" s="1773"/>
      <c r="E103" s="1773"/>
      <c r="F103" s="1774"/>
      <c r="G103" s="1751">
        <f>'D ▪ Kostenanalyse'!S134</f>
        <v>0</v>
      </c>
      <c r="H103" s="1765"/>
      <c r="I103" s="1765"/>
      <c r="J103" s="1766"/>
      <c r="L103" s="1751">
        <f>'D ▪ Kostenanalyse'!S151</f>
        <v>0</v>
      </c>
      <c r="M103" s="1765"/>
      <c r="N103" s="1765"/>
      <c r="O103" s="1766"/>
      <c r="P103" s="827"/>
      <c r="Q103" s="1763"/>
      <c r="R103" s="1764"/>
      <c r="S103" s="1840"/>
      <c r="T103" s="1841"/>
      <c r="U103" s="717"/>
      <c r="W103" s="204"/>
      <c r="X103" s="504"/>
    </row>
    <row r="104" spans="2:26" ht="16" customHeight="1">
      <c r="B104" s="715"/>
      <c r="C104" s="747"/>
      <c r="D104" s="748"/>
      <c r="E104" s="748"/>
      <c r="F104" s="748"/>
      <c r="G104" s="748"/>
      <c r="H104" s="748"/>
      <c r="I104" s="748"/>
      <c r="J104" s="748"/>
      <c r="K104" s="748"/>
      <c r="L104" s="748"/>
      <c r="M104" s="748"/>
      <c r="N104" s="748"/>
      <c r="O104" s="748"/>
      <c r="P104" s="748"/>
      <c r="Q104" s="748"/>
      <c r="R104" s="748"/>
      <c r="S104" s="748"/>
      <c r="T104" s="748"/>
      <c r="U104" s="717"/>
      <c r="W104" s="204"/>
      <c r="X104" s="504"/>
      <c r="Z104" s="824"/>
    </row>
    <row r="105" spans="2:26" ht="16" customHeight="1">
      <c r="B105" s="715"/>
      <c r="C105" s="734"/>
      <c r="D105" s="716"/>
      <c r="E105" s="716"/>
      <c r="F105" s="716"/>
      <c r="G105" s="716"/>
      <c r="H105" s="716"/>
      <c r="I105" s="716"/>
      <c r="J105" s="716"/>
      <c r="K105" s="716"/>
      <c r="L105" s="716"/>
      <c r="M105" s="716"/>
      <c r="N105" s="716"/>
      <c r="O105" s="716"/>
      <c r="P105" s="716"/>
      <c r="Q105" s="716"/>
      <c r="R105" s="716"/>
      <c r="S105" s="716"/>
      <c r="T105" s="716"/>
      <c r="U105" s="717"/>
      <c r="W105" s="204"/>
      <c r="X105" s="504"/>
    </row>
    <row r="106" spans="2:26" ht="18" customHeight="1">
      <c r="B106" s="715"/>
      <c r="C106" s="1757" t="s">
        <v>650</v>
      </c>
      <c r="D106" s="1757"/>
      <c r="E106" s="1757"/>
      <c r="F106" s="1758"/>
      <c r="G106" s="1754" t="s">
        <v>644</v>
      </c>
      <c r="H106" s="1755"/>
      <c r="I106" s="1755"/>
      <c r="J106" s="1756"/>
      <c r="K106" s="743"/>
      <c r="L106" s="1754" t="s">
        <v>649</v>
      </c>
      <c r="M106" s="1755"/>
      <c r="N106" s="1755"/>
      <c r="O106" s="1756"/>
      <c r="P106" s="743"/>
      <c r="Q106" s="1754" t="s">
        <v>645</v>
      </c>
      <c r="R106" s="1755"/>
      <c r="S106" s="1755"/>
      <c r="T106" s="1756"/>
      <c r="U106" s="717"/>
      <c r="W106" s="204"/>
      <c r="X106" s="504"/>
    </row>
    <row r="107" spans="2:26" ht="6" customHeight="1">
      <c r="B107" s="715"/>
      <c r="C107" s="1757"/>
      <c r="D107" s="1757"/>
      <c r="E107" s="1757"/>
      <c r="F107" s="1758"/>
      <c r="G107" s="751"/>
      <c r="H107" s="746"/>
      <c r="I107" s="716"/>
      <c r="J107" s="749"/>
      <c r="K107" s="716"/>
      <c r="L107" s="744"/>
      <c r="M107" s="716"/>
      <c r="N107" s="716"/>
      <c r="O107" s="749"/>
      <c r="P107" s="716"/>
      <c r="Q107" s="744"/>
      <c r="R107" s="716"/>
      <c r="S107" s="716"/>
      <c r="T107" s="749"/>
      <c r="U107" s="717"/>
      <c r="W107" s="204"/>
      <c r="X107" s="504"/>
    </row>
    <row r="108" spans="2:26" ht="18" customHeight="1">
      <c r="B108" s="715"/>
      <c r="C108" s="1757"/>
      <c r="D108" s="1757"/>
      <c r="E108" s="1757"/>
      <c r="F108" s="1758"/>
      <c r="G108" s="1748">
        <f>'D ▪ Kostenanalyse'!S156</f>
        <v>0</v>
      </c>
      <c r="H108" s="1749"/>
      <c r="I108" s="1749"/>
      <c r="J108" s="1750"/>
      <c r="K108" s="716"/>
      <c r="L108" s="1751">
        <f>'D ▪ Kostenanalyse'!S157</f>
        <v>0</v>
      </c>
      <c r="M108" s="1752"/>
      <c r="N108" s="1752"/>
      <c r="O108" s="1753"/>
      <c r="P108" s="743"/>
      <c r="Q108" s="1751" t="str">
        <f>'D ▪ Kostenanalyse'!S158</f>
        <v/>
      </c>
      <c r="R108" s="1752"/>
      <c r="S108" s="1752"/>
      <c r="T108" s="1753"/>
      <c r="U108" s="717"/>
      <c r="W108" s="204"/>
      <c r="X108" s="504"/>
    </row>
    <row r="109" spans="2:26" ht="16" customHeight="1">
      <c r="B109" s="715"/>
      <c r="C109" s="831"/>
      <c r="D109" s="831"/>
      <c r="E109" s="831"/>
      <c r="F109" s="831"/>
      <c r="G109" s="832"/>
      <c r="H109" s="833"/>
      <c r="I109" s="833"/>
      <c r="J109" s="833"/>
      <c r="K109" s="748"/>
      <c r="L109" s="834"/>
      <c r="M109" s="835"/>
      <c r="N109" s="835"/>
      <c r="O109" s="835"/>
      <c r="P109" s="767"/>
      <c r="Q109" s="834"/>
      <c r="R109" s="835"/>
      <c r="S109" s="835"/>
      <c r="T109" s="835"/>
      <c r="U109" s="717"/>
      <c r="W109" s="204"/>
      <c r="X109" s="504"/>
    </row>
    <row r="110" spans="2:26" ht="7" customHeight="1">
      <c r="B110" s="715"/>
      <c r="C110" s="798"/>
      <c r="D110" s="798"/>
      <c r="E110" s="798"/>
      <c r="F110" s="798"/>
      <c r="G110" s="828"/>
      <c r="H110" s="829"/>
      <c r="I110" s="829"/>
      <c r="J110" s="829"/>
      <c r="L110" s="838"/>
      <c r="M110" s="838"/>
      <c r="N110" s="838"/>
      <c r="O110" s="838"/>
      <c r="P110" s="838"/>
      <c r="Q110" s="838"/>
      <c r="R110" s="830"/>
      <c r="S110" s="830"/>
      <c r="T110" s="830"/>
      <c r="U110" s="717"/>
      <c r="W110" s="204"/>
      <c r="X110" s="504"/>
    </row>
    <row r="111" spans="2:26" ht="7" customHeight="1">
      <c r="B111" s="715"/>
      <c r="C111" s="798"/>
      <c r="D111" s="798"/>
      <c r="E111" s="798"/>
      <c r="F111" s="798"/>
      <c r="G111" s="828"/>
      <c r="H111" s="829"/>
      <c r="I111" s="829"/>
      <c r="J111" s="829"/>
      <c r="K111" s="1747" t="s">
        <v>691</v>
      </c>
      <c r="L111" s="1747"/>
      <c r="M111" s="1747"/>
      <c r="N111" s="1747"/>
      <c r="O111" s="1747"/>
      <c r="P111" s="1747"/>
      <c r="Q111" s="1747"/>
      <c r="R111" s="830"/>
      <c r="S111" s="830"/>
      <c r="T111" s="830"/>
      <c r="U111" s="717"/>
      <c r="W111" s="204"/>
      <c r="X111" s="504"/>
    </row>
    <row r="112" spans="2:26" ht="18" customHeight="1">
      <c r="B112" s="715"/>
      <c r="C112" s="837" t="s">
        <v>692</v>
      </c>
      <c r="D112" s="745"/>
      <c r="E112" s="745"/>
      <c r="F112" s="745"/>
      <c r="G112" s="745"/>
      <c r="H112" s="1770" t="str">
        <f>IF(ROUNDUP('D ▪ Kostenanalyse'!S168,0)=0,"",'D ▪ Kostenanalyse'!S168)</f>
        <v/>
      </c>
      <c r="I112" s="1771"/>
      <c r="J112" s="1772"/>
      <c r="K112" s="1747"/>
      <c r="L112" s="1747"/>
      <c r="M112" s="1747"/>
      <c r="N112" s="1747"/>
      <c r="O112" s="1747"/>
      <c r="P112" s="1747"/>
      <c r="Q112" s="1747"/>
      <c r="R112" s="1731" t="str">
        <f>IF(ROUNDUP('D ▪ Kostenanalyse'!S168,0)=0,"",'D ▪ Kostenanalyse'!S169)</f>
        <v/>
      </c>
      <c r="S112" s="1732"/>
      <c r="T112" s="1733"/>
      <c r="U112" s="717"/>
      <c r="W112" s="204"/>
      <c r="X112" s="504"/>
    </row>
    <row r="113" spans="1:24" ht="7" customHeight="1">
      <c r="B113" s="653"/>
      <c r="C113" s="226"/>
      <c r="D113" s="226"/>
      <c r="E113" s="226"/>
      <c r="F113" s="226"/>
      <c r="G113" s="226"/>
      <c r="H113" s="226"/>
      <c r="I113" s="226"/>
      <c r="J113" s="226"/>
      <c r="K113" s="1747"/>
      <c r="L113" s="1747"/>
      <c r="M113" s="1747"/>
      <c r="N113" s="1747"/>
      <c r="O113" s="1747"/>
      <c r="P113" s="1747"/>
      <c r="Q113" s="1747"/>
      <c r="R113" s="226"/>
      <c r="S113" s="226"/>
      <c r="T113" s="226"/>
      <c r="U113" s="413"/>
      <c r="W113" s="204"/>
      <c r="X113" s="504"/>
    </row>
    <row r="114" spans="1:24" ht="7" customHeight="1" thickBot="1">
      <c r="B114" s="655"/>
      <c r="C114" s="656"/>
      <c r="D114" s="656"/>
      <c r="E114" s="656"/>
      <c r="F114" s="656"/>
      <c r="G114" s="656"/>
      <c r="H114" s="656"/>
      <c r="I114" s="656"/>
      <c r="J114" s="656"/>
      <c r="K114" s="836"/>
      <c r="L114" s="836"/>
      <c r="M114" s="836"/>
      <c r="N114" s="836"/>
      <c r="O114" s="836"/>
      <c r="P114" s="836"/>
      <c r="Q114" s="836"/>
      <c r="R114" s="656"/>
      <c r="S114" s="656"/>
      <c r="T114" s="656"/>
      <c r="U114" s="657"/>
      <c r="W114" s="204"/>
      <c r="X114" s="504"/>
    </row>
    <row r="115" spans="1:24" ht="10" customHeight="1">
      <c r="W115" s="204"/>
      <c r="X115" s="504"/>
    </row>
    <row r="116" spans="1:24" ht="5" customHeight="1">
      <c r="A116" s="204"/>
      <c r="B116" s="204"/>
      <c r="C116" s="204"/>
      <c r="D116" s="204"/>
      <c r="E116" s="204"/>
      <c r="F116" s="204"/>
      <c r="G116" s="204"/>
      <c r="H116" s="204"/>
      <c r="I116" s="204"/>
      <c r="J116" s="204"/>
      <c r="K116" s="204"/>
      <c r="L116" s="204"/>
      <c r="M116" s="204"/>
      <c r="N116" s="204"/>
      <c r="O116" s="204"/>
      <c r="P116" s="204"/>
      <c r="Q116" s="204"/>
      <c r="R116" s="204"/>
      <c r="S116" s="204"/>
      <c r="T116" s="204"/>
      <c r="U116" s="204"/>
      <c r="V116" s="204"/>
      <c r="W116" s="204"/>
      <c r="X116" s="504"/>
    </row>
    <row r="117" spans="1:24" ht="45" customHeight="1">
      <c r="A117" s="504"/>
      <c r="B117" s="504"/>
      <c r="C117" s="504"/>
      <c r="D117" s="504"/>
      <c r="E117" s="504"/>
      <c r="F117" s="1035" t="s">
        <v>701</v>
      </c>
      <c r="G117" s="1035"/>
      <c r="H117" s="1035"/>
      <c r="I117" s="1035"/>
      <c r="J117" s="1035"/>
      <c r="K117" s="1035"/>
      <c r="L117" s="1035"/>
      <c r="M117" s="1035"/>
      <c r="N117" s="1035"/>
      <c r="O117" s="1035"/>
      <c r="P117" s="1035"/>
      <c r="Q117" s="504"/>
      <c r="R117" s="504"/>
      <c r="S117" s="504"/>
      <c r="T117" s="504"/>
      <c r="U117" s="504"/>
      <c r="V117" s="504"/>
      <c r="W117" s="504"/>
      <c r="X117" s="504"/>
    </row>
    <row r="118" spans="1:24" ht="26.25" customHeight="1">
      <c r="A118" s="505"/>
      <c r="B118" s="505"/>
      <c r="C118" s="505"/>
      <c r="D118" s="505"/>
      <c r="E118" s="505"/>
      <c r="F118" s="505"/>
      <c r="G118" s="505"/>
      <c r="H118" s="505"/>
      <c r="I118" s="505"/>
      <c r="J118" s="505"/>
      <c r="K118" s="505"/>
      <c r="L118" s="505"/>
      <c r="M118" s="505"/>
      <c r="N118" s="505"/>
      <c r="O118" s="505"/>
      <c r="P118" s="505"/>
      <c r="Q118" s="505"/>
      <c r="R118" s="505"/>
      <c r="S118" s="505"/>
      <c r="T118" s="505"/>
      <c r="U118" s="505"/>
      <c r="V118" s="505"/>
      <c r="W118" s="505"/>
      <c r="X118" s="505"/>
    </row>
  </sheetData>
  <sheetProtection algorithmName="SHA-512" hashValue="qim8ADGAbXRoHK/A4zUliPQ7Si2tsuY7WDJ25GWGPcuppM3cfr9bMEWsh+E3CUzl/dqEHV18f0xhPRrQxxdwbA==" saltValue="+82XZj5OFxegUMbgkAhGOw==" spinCount="100000" sheet="1" objects="1" scenarios="1"/>
  <mergeCells count="107">
    <mergeCell ref="S101:T103"/>
    <mergeCell ref="I54:J54"/>
    <mergeCell ref="I56:J56"/>
    <mergeCell ref="S54:T54"/>
    <mergeCell ref="S56:T56"/>
    <mergeCell ref="S77:T77"/>
    <mergeCell ref="S79:T79"/>
    <mergeCell ref="S81:T81"/>
    <mergeCell ref="C71:E71"/>
    <mergeCell ref="M71:O71"/>
    <mergeCell ref="Q92:T92"/>
    <mergeCell ref="Q94:T94"/>
    <mergeCell ref="Q96:T96"/>
    <mergeCell ref="Q98:T98"/>
    <mergeCell ref="C88:J88"/>
    <mergeCell ref="C90:J90"/>
    <mergeCell ref="K86:M86"/>
    <mergeCell ref="M60:N61"/>
    <mergeCell ref="M65:O65"/>
    <mergeCell ref="C68:G68"/>
    <mergeCell ref="M68:Q68"/>
    <mergeCell ref="C69:E69"/>
    <mergeCell ref="M69:O69"/>
    <mergeCell ref="S58:T58"/>
    <mergeCell ref="I35:T35"/>
    <mergeCell ref="G20:N20"/>
    <mergeCell ref="G22:N22"/>
    <mergeCell ref="S20:T20"/>
    <mergeCell ref="S22:T22"/>
    <mergeCell ref="G24:T24"/>
    <mergeCell ref="P31:T31"/>
    <mergeCell ref="C37:F39"/>
    <mergeCell ref="M37:N37"/>
    <mergeCell ref="M39:N39"/>
    <mergeCell ref="S37:T37"/>
    <mergeCell ref="S39:T39"/>
    <mergeCell ref="G28:T28"/>
    <mergeCell ref="P69:Q72"/>
    <mergeCell ref="C72:E72"/>
    <mergeCell ref="M72:O72"/>
    <mergeCell ref="C65:E65"/>
    <mergeCell ref="I69:J73"/>
    <mergeCell ref="S69:T73"/>
    <mergeCell ref="M43:T43"/>
    <mergeCell ref="M45:Q45"/>
    <mergeCell ref="M46:Q46"/>
    <mergeCell ref="C43:J43"/>
    <mergeCell ref="C70:E70"/>
    <mergeCell ref="M70:O70"/>
    <mergeCell ref="I58:J58"/>
    <mergeCell ref="C64:E64"/>
    <mergeCell ref="C60:D61"/>
    <mergeCell ref="M66:O66"/>
    <mergeCell ref="C66:E66"/>
    <mergeCell ref="M64:O64"/>
    <mergeCell ref="C67:E67"/>
    <mergeCell ref="M67:O67"/>
    <mergeCell ref="F64:G67"/>
    <mergeCell ref="C49:G49"/>
    <mergeCell ref="C101:F103"/>
    <mergeCell ref="A1:B1"/>
    <mergeCell ref="R1:T1"/>
    <mergeCell ref="N8:T8"/>
    <mergeCell ref="N6:T6"/>
    <mergeCell ref="N10:T10"/>
    <mergeCell ref="N12:T12"/>
    <mergeCell ref="N14:T14"/>
    <mergeCell ref="S33:T33"/>
    <mergeCell ref="I33:N33"/>
    <mergeCell ref="G26:T26"/>
    <mergeCell ref="K31:L31"/>
    <mergeCell ref="B17:U17"/>
    <mergeCell ref="C50:G50"/>
    <mergeCell ref="M47:Q47"/>
    <mergeCell ref="M48:Q48"/>
    <mergeCell ref="M49:Q49"/>
    <mergeCell ref="M50:Q50"/>
    <mergeCell ref="C45:G45"/>
    <mergeCell ref="C46:G46"/>
    <mergeCell ref="C47:G47"/>
    <mergeCell ref="C48:G48"/>
    <mergeCell ref="P64:Q67"/>
    <mergeCell ref="F69:G72"/>
    <mergeCell ref="Y1:AA1"/>
    <mergeCell ref="Q86:T86"/>
    <mergeCell ref="Q88:T90"/>
    <mergeCell ref="N88:P90"/>
    <mergeCell ref="K88:M88"/>
    <mergeCell ref="K90:M90"/>
    <mergeCell ref="C73:G73"/>
    <mergeCell ref="K111:Q113"/>
    <mergeCell ref="F117:P117"/>
    <mergeCell ref="G108:J108"/>
    <mergeCell ref="L108:O108"/>
    <mergeCell ref="Q108:T108"/>
    <mergeCell ref="L106:O106"/>
    <mergeCell ref="Q106:T106"/>
    <mergeCell ref="G106:J106"/>
    <mergeCell ref="C106:F108"/>
    <mergeCell ref="Q101:R103"/>
    <mergeCell ref="G103:J103"/>
    <mergeCell ref="G101:J101"/>
    <mergeCell ref="M73:Q73"/>
    <mergeCell ref="R112:T112"/>
    <mergeCell ref="H112:J112"/>
    <mergeCell ref="L101:O101"/>
    <mergeCell ref="L103:O103"/>
  </mergeCells>
  <conditionalFormatting sqref="A1:C1">
    <cfRule type="expression" dxfId="17" priority="6">
      <formula>AND(VA_FEHLER_CD=1,VA_KOSTENANALYSE=1)</formula>
    </cfRule>
  </conditionalFormatting>
  <conditionalFormatting sqref="A1:Q1">
    <cfRule type="expression" dxfId="16" priority="5">
      <formula>OR(AND(OR(VA_FEHLER_AB&gt;0,VA_FEHLER_C&gt;0),VA_KOSTENANALYSE&lt;&gt;2),VA_FEHLER_D&gt;0)</formula>
    </cfRule>
  </conditionalFormatting>
  <conditionalFormatting sqref="B17:U17">
    <cfRule type="expression" dxfId="15" priority="12">
      <formula>OR(VA_KOSTENANALYSE=2,VA_FEHLERMODUL=1,VA_FEHLER_AB=1,VA_FEHLER_CD=1,VA_FEHLER_D&gt;0)</formula>
    </cfRule>
  </conditionalFormatting>
  <conditionalFormatting sqref="C20:T113">
    <cfRule type="expression" dxfId="14" priority="11">
      <formula>OR(VA_KOSTENANALYSE=2,VA_FEHLERMODUL=1,VA_FEHLER_AB=1,VA_FEHLER_CD=1,VA_FEHLER_D&gt;0)</formula>
    </cfRule>
  </conditionalFormatting>
  <conditionalFormatting sqref="M43 P62 R64:R67 R69:R73">
    <cfRule type="expression" dxfId="13" priority="16">
      <formula>OR(VA_BESTANDSEINGABE=1,VA_ZUSAMMEN=1)</formula>
    </cfRule>
  </conditionalFormatting>
  <conditionalFormatting sqref="M45:T49 M51 M54:T58 M60:O67 P64 M68 R68 T68 S69 M69:Q72 M70:O72 M73">
    <cfRule type="expression" dxfId="12" priority="17">
      <formula>OR(VA_BESTANDSEINGABE=1,VA_ZUSAMMEN=1)</formula>
    </cfRule>
  </conditionalFormatting>
  <conditionalFormatting sqref="M50:T50 Q61 S64:S68">
    <cfRule type="expression" dxfId="11" priority="15">
      <formula>OR(VA_BESTANDSEINGABE=1,VA_ZUSAMMEN=1)</formula>
    </cfRule>
  </conditionalFormatting>
  <conditionalFormatting sqref="R60 T64:T67">
    <cfRule type="expression" dxfId="10" priority="14">
      <formula>OR(VA_BESTANDSEINGABE=1,VA_ZUSAMMEN=1)</formula>
    </cfRule>
  </conditionalFormatting>
  <conditionalFormatting sqref="Y1">
    <cfRule type="expression" dxfId="9" priority="3">
      <formula>V_ARBEIT=0</formula>
    </cfRule>
  </conditionalFormatting>
  <dataValidations count="2">
    <dataValidation type="textLength" allowBlank="1" showInputMessage="1" showErrorMessage="1" errorTitle="Eingabefehler" error="Es sind maximal 60 Zeichen (inkl. Leerzeichen) erlaubt." sqref="N6:T6 N8:T8 N10:T10 N12:T12 N14:T14" xr:uid="{B0903510-9905-4B91-9605-F390FAB1BA08}">
      <formula1>0</formula1>
      <formula2>60</formula2>
    </dataValidation>
    <dataValidation type="whole" operator="greaterThanOrEqual" allowBlank="1" showErrorMessage="1" errorTitle="Eingabefehler" error="Nur ganze, positive Zahlen sowie 0 erlaubt." sqref="H64:H67 J64:J67 H69:H73 I64:I68 S64:S68 T64:T67 R64:R67 R69:R73" xr:uid="{AD806ABB-1928-4481-B807-E1368FD1928F}">
      <formula1>0</formula1>
    </dataValidation>
  </dataValidations>
  <printOptions horizontalCentered="1"/>
  <pageMargins left="0.70866141732283472" right="0.70866141732283472" top="0.78740157480314965" bottom="0.78740157480314965" header="0.39370078740157483" footer="0.27559055118110237"/>
  <pageSetup paperSize="9" scale="49" orientation="portrait" errors="blank" r:id="rId1"/>
  <headerFooter scaleWithDoc="0">
    <oddHeader>&amp;L&amp;13Kurzbericht&amp;R&amp;G</oddHeader>
    <oddFooter>&amp;L&amp;G&amp;C&amp;6&amp;U&amp;K02+000Infostelle Fahrradparken&amp;18&amp;U&amp;K01+000
&amp;9https://radparken.info&amp;R&amp;KA5A5A5&amp;"Calibri"&amp;6Druck am: &amp;D
Tabellenreiter: &amp;A
Version: 3.6 (08.01.2025)</oddFooter>
  </headerFooter>
  <colBreaks count="1" manualBreakCount="1">
    <brk id="2" max="1048575" man="1"/>
  </colBreaks>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10</vt:i4>
      </vt:variant>
      <vt:variant>
        <vt:lpstr>Benannte Bereiche</vt:lpstr>
      </vt:variant>
      <vt:variant>
        <vt:i4>96</vt:i4>
      </vt:variant>
    </vt:vector>
  </HeadingPairs>
  <TitlesOfParts>
    <vt:vector size="106" baseType="lpstr">
      <vt:lpstr>Startseite und Basisinfos</vt:lpstr>
      <vt:lpstr>Zählung Bestand</vt:lpstr>
      <vt:lpstr>A ▪ Bestandseingabe</vt:lpstr>
      <vt:lpstr>B ▪ Parametereingabe</vt:lpstr>
      <vt:lpstr>C ▪ Ergebnisjustierung</vt:lpstr>
      <vt:lpstr>D ▪ Kostenanalyse</vt:lpstr>
      <vt:lpstr>E1 ▪ Checkliste</vt:lpstr>
      <vt:lpstr>E2 ▪ Checkliste</vt:lpstr>
      <vt:lpstr>F ▪ Kurzbericht</vt:lpstr>
      <vt:lpstr>intern</vt:lpstr>
      <vt:lpstr>'A ▪ Bestandseingabe'!Druckbereich</vt:lpstr>
      <vt:lpstr>'B ▪ Parametereingabe'!Druckbereich</vt:lpstr>
      <vt:lpstr>'C ▪ Ergebnisjustierung'!Druckbereich</vt:lpstr>
      <vt:lpstr>'D ▪ Kostenanalyse'!Druckbereich</vt:lpstr>
      <vt:lpstr>'E1 ▪ Checkliste'!Druckbereich</vt:lpstr>
      <vt:lpstr>'E2 ▪ Checkliste'!Druckbereich</vt:lpstr>
      <vt:lpstr>'F ▪ Kurzbericht'!Druckbereich</vt:lpstr>
      <vt:lpstr>intern!Druckbereich</vt:lpstr>
      <vt:lpstr>'Startseite und Basisinfos'!Druckbereich</vt:lpstr>
      <vt:lpstr>'Zählung Bestand'!Druckbereich</vt:lpstr>
      <vt:lpstr>R_BESTANDSEINGABE</vt:lpstr>
      <vt:lpstr>R_KOSTENANALYSE</vt:lpstr>
      <vt:lpstr>R_TFAUSWAHL</vt:lpstr>
      <vt:lpstr>R_TFAUSWAHL_NUM</vt:lpstr>
      <vt:lpstr>R_UVB</vt:lpstr>
      <vt:lpstr>R_ZUSAMMEN</vt:lpstr>
      <vt:lpstr>TBS_1a</vt:lpstr>
      <vt:lpstr>TBS_1b</vt:lpstr>
      <vt:lpstr>TBS_2</vt:lpstr>
      <vt:lpstr>TBS_3a</vt:lpstr>
      <vt:lpstr>TBS_3b</vt:lpstr>
      <vt:lpstr>TBS_3c</vt:lpstr>
      <vt:lpstr>TBS_3d</vt:lpstr>
      <vt:lpstr>TBS_4</vt:lpstr>
      <vt:lpstr>TBS_F11</vt:lpstr>
      <vt:lpstr>TBS_F12</vt:lpstr>
      <vt:lpstr>TBS_F13</vt:lpstr>
      <vt:lpstr>TBS_F14</vt:lpstr>
      <vt:lpstr>TBS_F21</vt:lpstr>
      <vt:lpstr>TBS_F22</vt:lpstr>
      <vt:lpstr>TBS_F23</vt:lpstr>
      <vt:lpstr>TBS_F24</vt:lpstr>
      <vt:lpstr>TBS_F3a</vt:lpstr>
      <vt:lpstr>TBS_F3b</vt:lpstr>
      <vt:lpstr>TBS_FH</vt:lpstr>
      <vt:lpstr>TBS_FH_D</vt:lpstr>
      <vt:lpstr>V_ARBEIT</vt:lpstr>
      <vt:lpstr>V_FPH</vt:lpstr>
      <vt:lpstr>V_VER1</vt:lpstr>
      <vt:lpstr>V_VER2</vt:lpstr>
      <vt:lpstr>VA_BBGESAMT</vt:lpstr>
      <vt:lpstr>VA_BESTANDSEINGABE</vt:lpstr>
      <vt:lpstr>VA_FEHLER_AB</vt:lpstr>
      <vt:lpstr>VA_FEHLER_C</vt:lpstr>
      <vt:lpstr>VA_FEHLER_CD</vt:lpstr>
      <vt:lpstr>VA_FEHLER_D</vt:lpstr>
      <vt:lpstr>VA_FEHLERMODUL</vt:lpstr>
      <vt:lpstr>VA_KOSTENANALYSE</vt:lpstr>
      <vt:lpstr>VA_KOSTENANALYSE_2</vt:lpstr>
      <vt:lpstr>VA_TF</vt:lpstr>
      <vt:lpstr>VA_TFAUSWAHL</vt:lpstr>
      <vt:lpstr>VA_VERKEHRSSTATION</vt:lpstr>
      <vt:lpstr>VA_VERLEGUNG_1</vt:lpstr>
      <vt:lpstr>VA_VERLEGUNG_2</vt:lpstr>
      <vt:lpstr>VA_ZUGANG_1</vt:lpstr>
      <vt:lpstr>VA_ZUGANG_2</vt:lpstr>
      <vt:lpstr>VA_ZUSAMMEN</vt:lpstr>
      <vt:lpstr>VE_3_UVB</vt:lpstr>
      <vt:lpstr>VE_5_DIEBSTAHL</vt:lpstr>
      <vt:lpstr>VE_5_ENTGELTFREI</vt:lpstr>
      <vt:lpstr>VE_5_ERSTMALIGSICHER</vt:lpstr>
      <vt:lpstr>VE_5_PENDLER</vt:lpstr>
      <vt:lpstr>VE_BB_1</vt:lpstr>
      <vt:lpstr>VE_BB_2</vt:lpstr>
      <vt:lpstr>VE_BESTANDSEINGABE</vt:lpstr>
      <vt:lpstr>VE_KOSTENANALYSE</vt:lpstr>
      <vt:lpstr>VE_TFAUSWAHL</vt:lpstr>
      <vt:lpstr>VE_VERKEHRSSTATION</vt:lpstr>
      <vt:lpstr>VE_VERLEGUNG_1</vt:lpstr>
      <vt:lpstr>VE_VERLEGUNG_2</vt:lpstr>
      <vt:lpstr>VE_ZUGANG_1</vt:lpstr>
      <vt:lpstr>VE_ZUGANG_2</vt:lpstr>
      <vt:lpstr>VE_ZUSAMMEN</vt:lpstr>
      <vt:lpstr>VP_0_EAHEUTE</vt:lpstr>
      <vt:lpstr>VP_1_DBEA2040</vt:lpstr>
      <vt:lpstr>VP_2_RVEA</vt:lpstr>
      <vt:lpstr>VP_2_RVJAHR</vt:lpstr>
      <vt:lpstr>VP_2_RVTF</vt:lpstr>
      <vt:lpstr>VP_3_BVHEUTE</vt:lpstr>
      <vt:lpstr>VP_3_BVJAHR</vt:lpstr>
      <vt:lpstr>VP_3_BVTF</vt:lpstr>
      <vt:lpstr>VP_3_BVZUKUNFT</vt:lpstr>
      <vt:lpstr>VP_3_UVB</vt:lpstr>
      <vt:lpstr>VP_4_METF</vt:lpstr>
      <vt:lpstr>VP_5_DIEBSTAHL</vt:lpstr>
      <vt:lpstr>VP_5_ENTGELTFREI</vt:lpstr>
      <vt:lpstr>VP_5_ERSTMALIGSICHER</vt:lpstr>
      <vt:lpstr>VP_5_PENDLER</vt:lpstr>
      <vt:lpstr>VP_5_SICH_BESTAND_VORHANDEN</vt:lpstr>
      <vt:lpstr>Z_1</vt:lpstr>
      <vt:lpstr>Z_2</vt:lpstr>
      <vt:lpstr>Z_3</vt:lpstr>
      <vt:lpstr>Z_4</vt:lpstr>
      <vt:lpstr>Z_5</vt:lpstr>
      <vt:lpstr>Z_6</vt:lpstr>
      <vt:lpstr>Z_7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Planungstool Radparken</dc:title>
  <dc:creator>BahnStadt Planungsgesellschaft für Bahnhofsentwicklung mbH</dc:creator>
  <cp:lastModifiedBy>Johanna Schelle</cp:lastModifiedBy>
  <cp:lastPrinted>2025-01-08T15:52:06Z</cp:lastPrinted>
  <dcterms:created xsi:type="dcterms:W3CDTF">2022-03-23T11:22:13Z</dcterms:created>
  <dcterms:modified xsi:type="dcterms:W3CDTF">2025-01-09T16:32:29Z</dcterms:modified>
</cp:coreProperties>
</file>